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tabRatio="845" firstSheet="4" activeTab="14"/>
  </bookViews>
  <sheets>
    <sheet name="Титул" sheetId="1" r:id="rId1"/>
    <sheet name="той" sheetId="2" r:id="rId2"/>
    <sheet name="мини" sheetId="3" r:id="rId3"/>
    <sheet name="медиум" sheetId="4" r:id="rId4"/>
    <sheet name="макси" sheetId="5" r:id="rId5"/>
    <sheet name="Ф той" sheetId="6" r:id="rId6"/>
    <sheet name="Ф мини" sheetId="7" r:id="rId7"/>
    <sheet name="Ф медиум" sheetId="8" r:id="rId8"/>
    <sheet name="Ф макси" sheetId="9" r:id="rId9"/>
    <sheet name="ЮФ той" sheetId="10" r:id="rId10"/>
    <sheet name="ЮФ мини" sheetId="11" r:id="rId11"/>
    <sheet name="ЮФ медиум" sheetId="12" r:id="rId12"/>
    <sheet name="ЮФ макси" sheetId="13" r:id="rId13"/>
    <sheet name="КЗ мини " sheetId="14" r:id="rId14"/>
    <sheet name="КЗ макси" sheetId="15" r:id="rId15"/>
  </sheets>
  <definedNames>
    <definedName name="_xlnm.Print_Area" localSheetId="14">'КЗ макси'!$A$1:$K$46</definedName>
    <definedName name="_xlnm.Print_Area" localSheetId="13">'КЗ мини '!$A$1:$K$55</definedName>
    <definedName name="_xlnm.Print_Area" localSheetId="4">'макси'!$A$1:$P$25</definedName>
    <definedName name="_xlnm.Print_Area" localSheetId="3">'медиум'!$A$1:$P$28</definedName>
    <definedName name="_xlnm.Print_Area" localSheetId="2">'мини'!$A$1:$P$45</definedName>
    <definedName name="_xlnm.Print_Area" localSheetId="1">'той'!$A$1:$P$18</definedName>
  </definedNames>
  <calcPr fullCalcOnLoad="1"/>
</workbook>
</file>

<file path=xl/sharedStrings.xml><?xml version="1.0" encoding="utf-8"?>
<sst xmlns="http://schemas.openxmlformats.org/spreadsheetml/2006/main" count="1104" uniqueCount="271">
  <si>
    <t>ДАТА</t>
  </si>
  <si>
    <t>№</t>
  </si>
  <si>
    <t>ФИО спортсмена</t>
  </si>
  <si>
    <t>собака</t>
  </si>
  <si>
    <t>АДЖИЛИТИ</t>
  </si>
  <si>
    <t>ГЕМБЛЕРЗ</t>
  </si>
  <si>
    <t>всего баллов</t>
  </si>
  <si>
    <t>место</t>
  </si>
  <si>
    <t>п/п</t>
  </si>
  <si>
    <t>штраф на полосе</t>
  </si>
  <si>
    <t>время</t>
  </si>
  <si>
    <t>штраф за время</t>
  </si>
  <si>
    <t>общий штраф</t>
  </si>
  <si>
    <t>открытие</t>
  </si>
  <si>
    <t>закрытие</t>
  </si>
  <si>
    <t>сумма баллов</t>
  </si>
  <si>
    <t>Катаева Варвара</t>
  </si>
  <si>
    <t>шелти Юстас</t>
  </si>
  <si>
    <t>Евдокимова Рада</t>
  </si>
  <si>
    <t>шелти Иф Онли</t>
  </si>
  <si>
    <t>Штернберг Наталья</t>
  </si>
  <si>
    <t>шелти Виолетта</t>
  </si>
  <si>
    <t>Пономарева Дарья</t>
  </si>
  <si>
    <t>шпиц Бонапарт</t>
  </si>
  <si>
    <t>шелти Брюс</t>
  </si>
  <si>
    <t>Кудрин Антон</t>
  </si>
  <si>
    <t>шелти Кристиан</t>
  </si>
  <si>
    <t>шелти Ноктюрн</t>
  </si>
  <si>
    <t>Овченкова Юлия</t>
  </si>
  <si>
    <t>метис Джем</t>
  </si>
  <si>
    <t>Ганеева Светлана</t>
  </si>
  <si>
    <t>метис Тобик</t>
  </si>
  <si>
    <t>Селеткова Елена</t>
  </si>
  <si>
    <t>шелти Вернисаж</t>
  </si>
  <si>
    <t>ир/т Динки</t>
  </si>
  <si>
    <t>Банщикова Саша</t>
  </si>
  <si>
    <t>б/к Альма</t>
  </si>
  <si>
    <t>Худорожкова Лиза</t>
  </si>
  <si>
    <t>н/о Джина</t>
  </si>
  <si>
    <t>Жданова Наталья</t>
  </si>
  <si>
    <t>н/о Джокер</t>
  </si>
  <si>
    <t>Косякова Екатерина</t>
  </si>
  <si>
    <t>доб. Ральф</t>
  </si>
  <si>
    <t>Карпушина Надежда</t>
  </si>
  <si>
    <t>г/р Виктория</t>
  </si>
  <si>
    <t>шелти Лисенок</t>
  </si>
  <si>
    <t>Попова Дарья</t>
  </si>
  <si>
    <t>шелти Вальтер</t>
  </si>
  <si>
    <t>шелти Сюзанна</t>
  </si>
  <si>
    <t>Черкашина Анна</t>
  </si>
  <si>
    <t>шелти Цент</t>
  </si>
  <si>
    <t>Бондарева Анна</t>
  </si>
  <si>
    <t>шпиц Беладонна</t>
  </si>
  <si>
    <t>Катутис Ангелина</t>
  </si>
  <si>
    <t>шелти Пайнери</t>
  </si>
  <si>
    <t>в/т Девид</t>
  </si>
  <si>
    <t>Тебенькова Ольга</t>
  </si>
  <si>
    <t>ф/т Гиви</t>
  </si>
  <si>
    <t>Митрошина Анна</t>
  </si>
  <si>
    <t>в/т Макси</t>
  </si>
  <si>
    <t>Зворыгина Любовь</t>
  </si>
  <si>
    <t>шелти Корн Колэд</t>
  </si>
  <si>
    <t>б/к Юбервелтиген</t>
  </si>
  <si>
    <t>б/к Юнити</t>
  </si>
  <si>
    <t>б/к Элвис</t>
  </si>
  <si>
    <t>б/к Аруна</t>
  </si>
  <si>
    <t>Маленьких Юлия</t>
  </si>
  <si>
    <t>шелти Пьеро</t>
  </si>
  <si>
    <t>дрт Стрелка</t>
  </si>
  <si>
    <t>шелти Кей</t>
  </si>
  <si>
    <t>Соловьева Полина</t>
  </si>
  <si>
    <t>шелти Адреналина</t>
  </si>
  <si>
    <t>Соловьева Юлия</t>
  </si>
  <si>
    <t>Кирьянова Екатерина</t>
  </si>
  <si>
    <t>шелти Аджилика</t>
  </si>
  <si>
    <t>метис Ля-Ля</t>
  </si>
  <si>
    <t>пудель Аделина</t>
  </si>
  <si>
    <t>Зубарева Кристина</t>
  </si>
  <si>
    <t>колли Ричард</t>
  </si>
  <si>
    <t>Макарова Татьяна</t>
  </si>
  <si>
    <t>н/о Вальтер</t>
  </si>
  <si>
    <t>Думанских Вадим</t>
  </si>
  <si>
    <t>я/т Гай</t>
  </si>
  <si>
    <t>цв/ш Флеш</t>
  </si>
  <si>
    <t>Ивонина Екатерина</t>
  </si>
  <si>
    <t>КВ</t>
  </si>
  <si>
    <t>ПВ</t>
  </si>
  <si>
    <t>команда</t>
  </si>
  <si>
    <t>общий штраф команды</t>
  </si>
  <si>
    <t>общее время команды</t>
  </si>
  <si>
    <t>СУДЬЯ</t>
  </si>
  <si>
    <r>
      <t xml:space="preserve">КОМАНДНЫЙ ЗАЧЕТ   </t>
    </r>
    <r>
      <rPr>
        <b/>
        <sz val="16"/>
        <rFont val="Arial Cyr"/>
        <family val="2"/>
      </rPr>
      <t>MINI + TOY</t>
    </r>
  </si>
  <si>
    <t xml:space="preserve">Березники </t>
  </si>
  <si>
    <r>
      <t xml:space="preserve">КОМАНДНЫЙ ЗАЧЕТ   </t>
    </r>
    <r>
      <rPr>
        <b/>
        <sz val="16"/>
        <rFont val="Arial Cyr"/>
        <family val="2"/>
      </rPr>
      <t>MАХI + MEDIUM</t>
    </r>
  </si>
  <si>
    <t>СТАРТОВЫЙ ПРОТОКОЛ   "Золотой Ник - 2006"</t>
  </si>
  <si>
    <t>шелти Матисс</t>
  </si>
  <si>
    <t>б/к Акелла</t>
  </si>
  <si>
    <t>б/к Ап.Джем</t>
  </si>
  <si>
    <t>р/ш Унга</t>
  </si>
  <si>
    <t>б/к Ассоль</t>
  </si>
  <si>
    <t>н/о Брайтон</t>
  </si>
  <si>
    <t>Вдовиченко Галина</t>
  </si>
  <si>
    <t>ШАР-мини-1</t>
  </si>
  <si>
    <t>ШАР-мини-2</t>
  </si>
  <si>
    <t>ШАР-мини-3</t>
  </si>
  <si>
    <t>ШАР-мини-4</t>
  </si>
  <si>
    <t>ШАР-мини-5</t>
  </si>
  <si>
    <t>ШАР-мини-6</t>
  </si>
  <si>
    <t>ШАР-мини-7</t>
  </si>
  <si>
    <t>ф/т Джонсон</t>
  </si>
  <si>
    <t>шелти Тореадор</t>
  </si>
  <si>
    <t>шелти Рица</t>
  </si>
  <si>
    <t>Панфилова Татьяна</t>
  </si>
  <si>
    <t>ф/т Зербина</t>
  </si>
  <si>
    <t>шелти Чудо</t>
  </si>
  <si>
    <t>дрт Аджилитистка</t>
  </si>
  <si>
    <t>ШАР-макси -1</t>
  </si>
  <si>
    <t>ШАР-макси -2</t>
  </si>
  <si>
    <t>ШАР-макси -3</t>
  </si>
  <si>
    <t>ШАР-макси -4</t>
  </si>
  <si>
    <t xml:space="preserve">Пономарева Дарья </t>
  </si>
  <si>
    <t>тервюрен Гера</t>
  </si>
  <si>
    <t>Папко Татьяна</t>
  </si>
  <si>
    <t>б/к Брайт Би</t>
  </si>
  <si>
    <t>Пшеничникова Мария</t>
  </si>
  <si>
    <t>б/к Баттерфляй</t>
  </si>
  <si>
    <t>метис Лолита</t>
  </si>
  <si>
    <t>г/р Вирджи</t>
  </si>
  <si>
    <r>
      <t xml:space="preserve">КАТЕГОРИЯ </t>
    </r>
    <r>
      <rPr>
        <b/>
        <i/>
        <sz val="14"/>
        <rFont val="Monotype Corsiva"/>
        <family val="4"/>
      </rPr>
      <t>MINI</t>
    </r>
  </si>
  <si>
    <r>
      <t xml:space="preserve">КАТЕГОРИЯ </t>
    </r>
    <r>
      <rPr>
        <b/>
        <i/>
        <sz val="14"/>
        <rFont val="Monotype Corsiva"/>
        <family val="4"/>
      </rPr>
      <t>MAXI</t>
    </r>
  </si>
  <si>
    <r>
      <t xml:space="preserve">КАТЕГОРИЯ </t>
    </r>
    <r>
      <rPr>
        <b/>
        <i/>
        <sz val="14"/>
        <rFont val="Monotype Corsiva"/>
        <family val="4"/>
      </rPr>
      <t>MEDIUM</t>
    </r>
  </si>
  <si>
    <r>
      <t xml:space="preserve">КАТЕГОРИЯ </t>
    </r>
    <r>
      <rPr>
        <b/>
        <i/>
        <sz val="14"/>
        <rFont val="Monotype Corsiva"/>
        <family val="4"/>
      </rPr>
      <t>TOY</t>
    </r>
  </si>
  <si>
    <t>ЮНИОРЫ</t>
  </si>
  <si>
    <t>Косяков Антон</t>
  </si>
  <si>
    <t>шелти Зол.Лис</t>
  </si>
  <si>
    <t>шелти Кристалл</t>
  </si>
  <si>
    <t>Дружба</t>
  </si>
  <si>
    <t>Альянс</t>
  </si>
  <si>
    <t xml:space="preserve">Попова Дарья </t>
  </si>
  <si>
    <t xml:space="preserve">место </t>
  </si>
  <si>
    <t>баллы</t>
  </si>
  <si>
    <t>место по юниорам</t>
  </si>
  <si>
    <t>щпиц Бонапарт</t>
  </si>
  <si>
    <t>н/о Зольдарс</t>
  </si>
  <si>
    <r>
      <t xml:space="preserve">ПРОТОКОЛ ДВОЕБОРЬЕ   </t>
    </r>
    <r>
      <rPr>
        <b/>
        <i/>
        <sz val="16"/>
        <rFont val="Monotype Corsiva"/>
        <family val="4"/>
      </rPr>
      <t>"Золотой Ник -2006"</t>
    </r>
  </si>
  <si>
    <t xml:space="preserve">длина </t>
  </si>
  <si>
    <t>скорость</t>
  </si>
  <si>
    <t xml:space="preserve">Финал всероссийских соревнований по аджилити "Золотой Ник - 2006" </t>
  </si>
  <si>
    <t>Сергиенкова Елена</t>
  </si>
  <si>
    <t>метис Лори</t>
  </si>
  <si>
    <t>метис Сьюзи</t>
  </si>
  <si>
    <t>Гришина Евгения</t>
  </si>
  <si>
    <t>метис Метью</t>
  </si>
  <si>
    <t>Иванова Галина</t>
  </si>
  <si>
    <t>метис Тимма</t>
  </si>
  <si>
    <t>Козлова Мария</t>
  </si>
  <si>
    <t>метис Джек</t>
  </si>
  <si>
    <t>метис Малыш</t>
  </si>
  <si>
    <t>Дроздова Евгения</t>
  </si>
  <si>
    <t>такса Бренда</t>
  </si>
  <si>
    <t>Булатова Екатерина</t>
  </si>
  <si>
    <t>Чебыкина Ирина</t>
  </si>
  <si>
    <t>ир/т Жеральд</t>
  </si>
  <si>
    <t>Злобина Маргарита</t>
  </si>
  <si>
    <t>пудель Макс</t>
  </si>
  <si>
    <t>метис Мэйси</t>
  </si>
  <si>
    <t>Антей</t>
  </si>
  <si>
    <t>Шестакова Галина</t>
  </si>
  <si>
    <t>кбт Патрик</t>
  </si>
  <si>
    <t>кбт Штеффи</t>
  </si>
  <si>
    <t>Мохова Ирина</t>
  </si>
  <si>
    <t>лабрадор Гала</t>
  </si>
  <si>
    <t>Луковникова Наталья</t>
  </si>
  <si>
    <t>тервюрен Банда</t>
  </si>
  <si>
    <t>метис Шерри</t>
  </si>
  <si>
    <t>шелти Цезарь</t>
  </si>
  <si>
    <t>шелти Алиса</t>
  </si>
  <si>
    <t>Крутые перцы</t>
  </si>
  <si>
    <t>Веселые ребята</t>
  </si>
  <si>
    <t>Черные собаки</t>
  </si>
  <si>
    <t>Смена ДТЮ</t>
  </si>
  <si>
    <t>Зорро ДТЮ</t>
  </si>
  <si>
    <t>Авоська ДТЮ</t>
  </si>
  <si>
    <t xml:space="preserve">б/к Акелла </t>
  </si>
  <si>
    <t>н/о Дан</t>
  </si>
  <si>
    <t>организация</t>
  </si>
  <si>
    <t>ДТЮ/Пермь</t>
  </si>
  <si>
    <t>ШАР/Пермь</t>
  </si>
  <si>
    <t>Унипес/Самара</t>
  </si>
  <si>
    <t>ФКС/Березники</t>
  </si>
  <si>
    <t>КСС/Пермь</t>
  </si>
  <si>
    <t>Антей/Пермь</t>
  </si>
  <si>
    <t>КСС-ДТЮ/Пермь</t>
  </si>
  <si>
    <t>цв/ш Кэрри</t>
  </si>
  <si>
    <t>Карсаева Татьяна</t>
  </si>
  <si>
    <t>шелти Квинт</t>
  </si>
  <si>
    <t>Рысенкова Ирина</t>
  </si>
  <si>
    <t>ф/т Фокус Покус</t>
  </si>
  <si>
    <t>Судакова Ксения</t>
  </si>
  <si>
    <t>шелти Винсент</t>
  </si>
  <si>
    <t>Юшманова Анна</t>
  </si>
  <si>
    <t>спаниель Тоша</t>
  </si>
  <si>
    <t>шелти Люкс</t>
  </si>
  <si>
    <t>Гуськова Елена</t>
  </si>
  <si>
    <t>пудель Колибри</t>
  </si>
  <si>
    <t>Загрудинова Диана</t>
  </si>
  <si>
    <t>ф/т Форвард Бой</t>
  </si>
  <si>
    <t>Тенкачева Евгения</t>
  </si>
  <si>
    <t>шелти Шустрик</t>
  </si>
  <si>
    <t>б/к Арвен</t>
  </si>
  <si>
    <t>Лядова Анна</t>
  </si>
  <si>
    <t>б/к Актавиа</t>
  </si>
  <si>
    <t>б/к Аксель</t>
  </si>
  <si>
    <t>доб. Бредли</t>
  </si>
  <si>
    <t>лабрадор Cecily</t>
  </si>
  <si>
    <t>малинуа Алька</t>
  </si>
  <si>
    <t>Хаирова Анна</t>
  </si>
  <si>
    <t>ир/сеттер Астинг</t>
  </si>
  <si>
    <t>Екатеринбург</t>
  </si>
  <si>
    <t>Екатеринбург-3</t>
  </si>
  <si>
    <t>Екатеринбург-4</t>
  </si>
  <si>
    <t>Екатеринбург-1</t>
  </si>
  <si>
    <t>Екатеринбург-2</t>
  </si>
  <si>
    <r>
      <t>СУДЬЯ ____</t>
    </r>
    <r>
      <rPr>
        <b/>
        <u val="single"/>
        <sz val="10"/>
        <rFont val="Arial Cyr"/>
        <family val="2"/>
      </rPr>
      <t>Карпушина Н.А.</t>
    </r>
    <r>
      <rPr>
        <b/>
        <sz val="10"/>
        <rFont val="Arial Cyr"/>
        <family val="2"/>
      </rPr>
      <t>_______________________</t>
    </r>
  </si>
  <si>
    <t>145 м</t>
  </si>
  <si>
    <t>3.5 м/с</t>
  </si>
  <si>
    <t xml:space="preserve">  30 сек.</t>
  </si>
  <si>
    <t>13 сек.</t>
  </si>
  <si>
    <t>снят</t>
  </si>
  <si>
    <t>-</t>
  </si>
  <si>
    <t>Недригайло Елена</t>
  </si>
  <si>
    <t>Воденникова Юлия</t>
  </si>
  <si>
    <t>шелти Салют</t>
  </si>
  <si>
    <t>Дросик Алена</t>
  </si>
  <si>
    <t>шелти Лайт</t>
  </si>
  <si>
    <t xml:space="preserve"> 145 м</t>
  </si>
  <si>
    <t xml:space="preserve"> 30 сек.</t>
  </si>
  <si>
    <t>н/я</t>
  </si>
  <si>
    <t>7-8</t>
  </si>
  <si>
    <t>не финишировала</t>
  </si>
  <si>
    <t>30 сек.</t>
  </si>
  <si>
    <r>
      <t>СУДЬЯ _____</t>
    </r>
    <r>
      <rPr>
        <b/>
        <u val="single"/>
        <sz val="10"/>
        <rFont val="Arial Cyr"/>
        <family val="2"/>
      </rPr>
      <t>Косяков А.П.</t>
    </r>
    <r>
      <rPr>
        <b/>
        <sz val="10"/>
        <rFont val="Arial Cyr"/>
        <family val="2"/>
      </rPr>
      <t>__________________</t>
    </r>
  </si>
  <si>
    <t>27 августа 2006г.</t>
  </si>
  <si>
    <t>8-9</t>
  </si>
  <si>
    <r>
      <t>СУДЬЯ ___</t>
    </r>
    <r>
      <rPr>
        <b/>
        <u val="single"/>
        <sz val="10"/>
        <rFont val="Arial Cyr"/>
        <family val="2"/>
      </rPr>
      <t>Карпушина Н.А</t>
    </r>
    <r>
      <rPr>
        <b/>
        <sz val="10"/>
        <rFont val="Arial Cyr"/>
        <family val="2"/>
      </rPr>
      <t>_______</t>
    </r>
  </si>
  <si>
    <r>
      <t>ДАТА</t>
    </r>
    <r>
      <rPr>
        <sz val="10"/>
        <rFont val="Arial Cyr"/>
        <family val="0"/>
      </rPr>
      <t xml:space="preserve"> </t>
    </r>
    <r>
      <rPr>
        <sz val="14"/>
        <rFont val="Arial Cyr"/>
        <family val="2"/>
      </rPr>
      <t>27 августа 2006г.</t>
    </r>
  </si>
  <si>
    <t>172 м</t>
  </si>
  <si>
    <t>3.7 м/с</t>
  </si>
  <si>
    <t>Евдокимаво Рада</t>
  </si>
  <si>
    <t>ДТЮ-КСС/Пермь</t>
  </si>
  <si>
    <t>снята за грубое обращение</t>
  </si>
  <si>
    <r>
      <t>СУДЬЯ ___</t>
    </r>
    <r>
      <rPr>
        <b/>
        <u val="single"/>
        <sz val="10"/>
        <rFont val="Arial Cyr"/>
        <family val="2"/>
      </rPr>
      <t>Косяков А.П.</t>
    </r>
    <r>
      <rPr>
        <b/>
        <sz val="10"/>
        <rFont val="Arial Cyr"/>
        <family val="2"/>
      </rPr>
      <t>_______</t>
    </r>
  </si>
  <si>
    <t>метис Мэтью</t>
  </si>
  <si>
    <t>Банщикова Александра</t>
  </si>
  <si>
    <t>____Карпушина Н.А._________</t>
  </si>
  <si>
    <t>Самара</t>
  </si>
  <si>
    <t>15-16</t>
  </si>
  <si>
    <t>____Косяков А.П._________</t>
  </si>
  <si>
    <r>
      <t xml:space="preserve">ДАТА  27 августа 2006г.       </t>
    </r>
    <r>
      <rPr>
        <b/>
        <sz val="12"/>
        <rFont val="Arial Cyr"/>
        <family val="2"/>
      </rPr>
      <t xml:space="preserve"> </t>
    </r>
  </si>
  <si>
    <t xml:space="preserve"> </t>
  </si>
  <si>
    <t>ПРОТОКОЛ</t>
  </si>
  <si>
    <t>ВСЕРОССИЙСКИХ СОРЕВНОВАНИЙ</t>
  </si>
  <si>
    <t>"ЗОЛОТОЙ НИК-2006"</t>
  </si>
  <si>
    <t>гл.судья - Белая А.В.</t>
  </si>
  <si>
    <t>судья - Косяков А.П.</t>
  </si>
  <si>
    <t>судья - Карпушина Н.А.</t>
  </si>
  <si>
    <t>гл.секретарь - Кудрина А.С.</t>
  </si>
  <si>
    <t>Место проведения: г. Пермь, СДП "Солнечная"</t>
  </si>
  <si>
    <t>Дата проведения: 27 августа 2006 г.</t>
  </si>
  <si>
    <t>Кол-во участников: 96</t>
  </si>
  <si>
    <t>ГЕНЕРАЛЬНЫЙ СПОНСОР: ROYAL CANIN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</si>
</sst>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14"/>
      <name val="Arial Cyr"/>
      <family val="2"/>
    </font>
    <font>
      <b/>
      <sz val="16"/>
      <name val="Arial Cyr"/>
      <family val="2"/>
    </font>
    <font>
      <sz val="10"/>
      <color indexed="10"/>
      <name val="Arial Cyr"/>
      <family val="2"/>
    </font>
    <font>
      <b/>
      <i/>
      <sz val="14"/>
      <name val="Monotype Corsiva"/>
      <family val="4"/>
    </font>
    <font>
      <b/>
      <i/>
      <sz val="16"/>
      <name val="Monotype Corsiva"/>
      <family val="4"/>
    </font>
    <font>
      <b/>
      <u val="single"/>
      <sz val="10"/>
      <name val="Arial Cyr"/>
      <family val="2"/>
    </font>
    <font>
      <sz val="8"/>
      <name val="Arial Cyr"/>
      <family val="0"/>
    </font>
    <font>
      <sz val="20"/>
      <name val="Arial Cyr"/>
      <family val="0"/>
    </font>
    <font>
      <b/>
      <sz val="14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8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6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Fill="1" applyAlignment="1">
      <alignment/>
    </xf>
    <xf numFmtId="0" fontId="0" fillId="0" borderId="9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4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3" borderId="7" xfId="0" applyFill="1" applyBorder="1" applyAlignment="1">
      <alignment/>
    </xf>
    <xf numFmtId="0" fontId="0" fillId="3" borderId="14" xfId="0" applyFont="1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7" xfId="0" applyFont="1" applyFill="1" applyBorder="1" applyAlignment="1">
      <alignment/>
    </xf>
    <xf numFmtId="0" fontId="0" fillId="3" borderId="14" xfId="0" applyFont="1" applyFill="1" applyBorder="1" applyAlignment="1">
      <alignment/>
    </xf>
    <xf numFmtId="0" fontId="0" fillId="3" borderId="20" xfId="0" applyFont="1" applyFill="1" applyBorder="1" applyAlignment="1">
      <alignment/>
    </xf>
    <xf numFmtId="0" fontId="0" fillId="3" borderId="3" xfId="0" applyFill="1" applyBorder="1" applyAlignment="1">
      <alignment horizontal="center" vertical="center" wrapText="1"/>
    </xf>
    <xf numFmtId="169" fontId="0" fillId="0" borderId="8" xfId="0" applyNumberFormat="1" applyFill="1" applyBorder="1" applyAlignment="1">
      <alignment/>
    </xf>
    <xf numFmtId="0" fontId="0" fillId="3" borderId="8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9" fontId="0" fillId="0" borderId="8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69" fontId="0" fillId="2" borderId="14" xfId="0" applyNumberForma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69" fontId="0" fillId="0" borderId="25" xfId="0" applyNumberFormat="1" applyBorder="1" applyAlignment="1">
      <alignment horizontal="center"/>
    </xf>
    <xf numFmtId="169" fontId="0" fillId="0" borderId="8" xfId="0" applyNumberFormat="1" applyBorder="1" applyAlignment="1">
      <alignment/>
    </xf>
    <xf numFmtId="0" fontId="0" fillId="0" borderId="9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3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3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27" xfId="0" applyBorder="1" applyAlignment="1">
      <alignment horizontal="center"/>
    </xf>
    <xf numFmtId="169" fontId="0" fillId="3" borderId="8" xfId="0" applyNumberFormat="1" applyFill="1" applyBorder="1" applyAlignment="1">
      <alignment/>
    </xf>
    <xf numFmtId="0" fontId="4" fillId="0" borderId="5" xfId="0" applyFont="1" applyFill="1" applyBorder="1" applyAlignment="1">
      <alignment horizontal="center"/>
    </xf>
    <xf numFmtId="49" fontId="0" fillId="0" borderId="8" xfId="0" applyNumberForma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169" fontId="0" fillId="0" borderId="5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16" xfId="0" applyBorder="1" applyAlignment="1">
      <alignment horizontal="right"/>
    </xf>
    <xf numFmtId="1" fontId="0" fillId="0" borderId="8" xfId="0" applyNumberFormat="1" applyBorder="1" applyAlignment="1">
      <alignment/>
    </xf>
    <xf numFmtId="0" fontId="11" fillId="0" borderId="0" xfId="0" applyFont="1" applyAlignment="1">
      <alignment/>
    </xf>
    <xf numFmtId="0" fontId="0" fillId="0" borderId="18" xfId="0" applyBorder="1" applyAlignment="1">
      <alignment horizontal="center"/>
    </xf>
    <xf numFmtId="0" fontId="4" fillId="0" borderId="6" xfId="0" applyFont="1" applyBorder="1" applyAlignment="1">
      <alignment horizontal="center"/>
    </xf>
    <xf numFmtId="1" fontId="0" fillId="0" borderId="5" xfId="0" applyNumberFormat="1" applyBorder="1" applyAlignment="1">
      <alignment/>
    </xf>
    <xf numFmtId="0" fontId="0" fillId="3" borderId="14" xfId="0" applyFont="1" applyFill="1" applyBorder="1" applyAlignment="1">
      <alignment wrapText="1"/>
    </xf>
    <xf numFmtId="0" fontId="0" fillId="0" borderId="6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4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6" xfId="0" applyFont="1" applyFill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30" xfId="0" applyFont="1" applyBorder="1" applyAlignment="1">
      <alignment/>
    </xf>
    <xf numFmtId="0" fontId="0" fillId="3" borderId="31" xfId="0" applyFill="1" applyBorder="1" applyAlignment="1">
      <alignment/>
    </xf>
    <xf numFmtId="0" fontId="0" fillId="3" borderId="32" xfId="0" applyFill="1" applyBorder="1" applyAlignment="1">
      <alignment/>
    </xf>
    <xf numFmtId="0" fontId="0" fillId="3" borderId="21" xfId="0" applyFon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0" xfId="0" applyAlignment="1">
      <alignment horizontal="center"/>
    </xf>
    <xf numFmtId="0" fontId="0" fillId="0" borderId="34" xfId="0" applyBorder="1" applyAlignment="1">
      <alignment/>
    </xf>
    <xf numFmtId="0" fontId="0" fillId="0" borderId="35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35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169" fontId="0" fillId="0" borderId="5" xfId="0" applyNumberFormat="1" applyFill="1" applyBorder="1" applyAlignment="1">
      <alignment/>
    </xf>
    <xf numFmtId="0" fontId="0" fillId="0" borderId="15" xfId="0" applyFill="1" applyBorder="1" applyAlignment="1">
      <alignment horizontal="center"/>
    </xf>
    <xf numFmtId="169" fontId="0" fillId="0" borderId="11" xfId="0" applyNumberForma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5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4" fillId="0" borderId="23" xfId="0" applyFont="1" applyBorder="1" applyAlignment="1">
      <alignment horizontal="center"/>
    </xf>
    <xf numFmtId="2" fontId="0" fillId="0" borderId="36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4" fillId="0" borderId="3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2" fontId="0" fillId="0" borderId="38" xfId="0" applyNumberForma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43" xfId="0" applyFont="1" applyBorder="1" applyAlignment="1">
      <alignment horizontal="left"/>
    </xf>
    <xf numFmtId="0" fontId="0" fillId="0" borderId="38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28"/>
  <sheetViews>
    <sheetView workbookViewId="0" topLeftCell="A10">
      <selection activeCell="A24" sqref="A24:N24"/>
    </sheetView>
  </sheetViews>
  <sheetFormatPr defaultColWidth="9.00390625" defaultRowHeight="12.75"/>
  <sheetData>
    <row r="6" ht="12.75">
      <c r="B6" t="s">
        <v>259</v>
      </c>
    </row>
    <row r="7" spans="1:14" ht="25.5">
      <c r="A7" s="177" t="s">
        <v>260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</row>
    <row r="8" spans="1:14" ht="25.5">
      <c r="A8" s="177" t="s">
        <v>261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</row>
    <row r="9" spans="1:14" ht="25.5">
      <c r="A9" s="177" t="s">
        <v>262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</row>
    <row r="10" spans="1:14" s="170" customFormat="1" ht="18">
      <c r="A10" s="169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</row>
    <row r="11" spans="1:14" s="170" customFormat="1" ht="18">
      <c r="A11" s="169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</row>
    <row r="12" spans="1:14" s="170" customFormat="1" ht="18">
      <c r="A12" s="169"/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</row>
    <row r="14" spans="1:14" ht="15">
      <c r="A14" s="178" t="s">
        <v>263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</row>
    <row r="15" spans="1:14" ht="15">
      <c r="A15" s="178" t="s">
        <v>265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</row>
    <row r="16" spans="1:14" ht="15">
      <c r="A16" s="178" t="s">
        <v>264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</row>
    <row r="17" spans="1:14" ht="15">
      <c r="A17" s="178" t="s">
        <v>266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</row>
    <row r="18" spans="1:14" ht="15">
      <c r="A18" s="168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</row>
    <row r="20" spans="1:14" ht="15">
      <c r="A20" s="178" t="s">
        <v>267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</row>
    <row r="21" spans="1:14" ht="15">
      <c r="A21" s="178" t="s">
        <v>268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</row>
    <row r="22" spans="1:14" ht="15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</row>
    <row r="24" spans="1:14" ht="15">
      <c r="A24" s="178" t="s">
        <v>269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</row>
    <row r="28" spans="1:14" ht="18">
      <c r="A28" s="179" t="s">
        <v>270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</row>
  </sheetData>
  <mergeCells count="11">
    <mergeCell ref="A15:N15"/>
    <mergeCell ref="A16:N16"/>
    <mergeCell ref="A17:N17"/>
    <mergeCell ref="A28:N28"/>
    <mergeCell ref="A24:N24"/>
    <mergeCell ref="A21:N21"/>
    <mergeCell ref="A20:N20"/>
    <mergeCell ref="A7:N7"/>
    <mergeCell ref="A8:N8"/>
    <mergeCell ref="A9:N9"/>
    <mergeCell ref="A14:N14"/>
  </mergeCells>
  <printOptions/>
  <pageMargins left="0.75" right="0.75" top="1" bottom="1" header="0.5" footer="0.5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L8" sqref="L8"/>
    </sheetView>
  </sheetViews>
  <sheetFormatPr defaultColWidth="9.00390625" defaultRowHeight="12.75"/>
  <cols>
    <col min="1" max="1" width="3.625" style="0" bestFit="1" customWidth="1"/>
    <col min="2" max="2" width="19.375" style="0" bestFit="1" customWidth="1"/>
    <col min="3" max="3" width="14.625" style="0" bestFit="1" customWidth="1"/>
    <col min="4" max="4" width="14.375" style="0" bestFit="1" customWidth="1"/>
  </cols>
  <sheetData>
    <row r="1" spans="1:9" ht="12.75">
      <c r="A1" s="196" t="s">
        <v>147</v>
      </c>
      <c r="B1" s="196"/>
      <c r="C1" s="196"/>
      <c r="D1" s="196"/>
      <c r="E1" s="196"/>
      <c r="F1" s="196"/>
      <c r="G1" s="196"/>
      <c r="H1" s="196"/>
      <c r="I1" s="196"/>
    </row>
    <row r="2" spans="1:9" ht="12.75">
      <c r="A2" s="196"/>
      <c r="B2" s="196"/>
      <c r="C2" s="196"/>
      <c r="D2" s="196"/>
      <c r="E2" s="196"/>
      <c r="F2" s="196"/>
      <c r="G2" s="196"/>
      <c r="H2" s="196"/>
      <c r="I2" s="196"/>
    </row>
    <row r="3" spans="1:9" ht="12.75" customHeight="1">
      <c r="A3" s="197" t="s">
        <v>131</v>
      </c>
      <c r="B3" s="197"/>
      <c r="C3" s="195" t="s">
        <v>245</v>
      </c>
      <c r="D3" s="195"/>
      <c r="E3" s="195" t="s">
        <v>244</v>
      </c>
      <c r="F3" s="195"/>
      <c r="G3" s="195"/>
      <c r="H3" s="195"/>
      <c r="I3" s="195"/>
    </row>
    <row r="4" spans="1:9" ht="13.5" customHeight="1" thickBot="1">
      <c r="A4" s="197"/>
      <c r="B4" s="197"/>
      <c r="C4" s="195"/>
      <c r="D4" s="195"/>
      <c r="E4" s="195"/>
      <c r="F4" s="195"/>
      <c r="G4" s="195"/>
      <c r="H4" s="195"/>
      <c r="I4" s="195"/>
    </row>
    <row r="5" spans="1:10" ht="18.75">
      <c r="A5" s="204" t="s">
        <v>132</v>
      </c>
      <c r="B5" s="204"/>
      <c r="C5" s="204"/>
      <c r="D5" s="57"/>
      <c r="E5" s="18" t="s">
        <v>145</v>
      </c>
      <c r="F5" s="34" t="s">
        <v>246</v>
      </c>
      <c r="G5" s="19" t="s">
        <v>85</v>
      </c>
      <c r="H5" s="10">
        <v>49</v>
      </c>
      <c r="I5" s="57"/>
      <c r="J5" s="55"/>
    </row>
    <row r="6" spans="1:10" ht="19.5" thickBot="1">
      <c r="A6" s="204"/>
      <c r="B6" s="204"/>
      <c r="C6" s="204"/>
      <c r="D6" s="57"/>
      <c r="E6" s="64" t="s">
        <v>146</v>
      </c>
      <c r="F6" s="123" t="s">
        <v>225</v>
      </c>
      <c r="G6" s="62" t="s">
        <v>86</v>
      </c>
      <c r="H6" s="122">
        <v>74</v>
      </c>
      <c r="I6" s="57"/>
      <c r="J6" s="55"/>
    </row>
    <row r="7" spans="1:10" ht="13.5" thickBot="1">
      <c r="A7" s="3" t="s">
        <v>1</v>
      </c>
      <c r="B7" s="186" t="s">
        <v>2</v>
      </c>
      <c r="C7" s="186" t="s">
        <v>3</v>
      </c>
      <c r="D7" s="186" t="s">
        <v>185</v>
      </c>
      <c r="E7" s="176" t="s">
        <v>4</v>
      </c>
      <c r="F7" s="184"/>
      <c r="G7" s="184"/>
      <c r="H7" s="184"/>
      <c r="I7" s="198" t="s">
        <v>7</v>
      </c>
      <c r="J7" s="175" t="s">
        <v>146</v>
      </c>
    </row>
    <row r="8" spans="1:10" ht="26.25" thickBot="1">
      <c r="A8" s="5" t="s">
        <v>8</v>
      </c>
      <c r="B8" s="187"/>
      <c r="C8" s="187"/>
      <c r="D8" s="192"/>
      <c r="E8" s="6" t="s">
        <v>9</v>
      </c>
      <c r="F8" s="6" t="s">
        <v>10</v>
      </c>
      <c r="G8" s="6" t="s">
        <v>11</v>
      </c>
      <c r="H8" s="6" t="s">
        <v>12</v>
      </c>
      <c r="I8" s="199"/>
      <c r="J8" s="194"/>
    </row>
    <row r="9" spans="1:10" ht="12.75">
      <c r="A9" s="11">
        <v>4</v>
      </c>
      <c r="B9" s="12" t="s">
        <v>22</v>
      </c>
      <c r="C9" s="12" t="s">
        <v>23</v>
      </c>
      <c r="D9" s="60" t="s">
        <v>187</v>
      </c>
      <c r="E9" s="12">
        <v>0</v>
      </c>
      <c r="F9" s="12">
        <v>44.7</v>
      </c>
      <c r="G9" s="12"/>
      <c r="H9" s="12">
        <f>G9+E9</f>
        <v>0</v>
      </c>
      <c r="I9" s="161">
        <v>1</v>
      </c>
      <c r="J9" s="162">
        <f>172/F9</f>
        <v>3.8478747203579418</v>
      </c>
    </row>
    <row r="10" spans="1:10" ht="12.75">
      <c r="A10" s="11">
        <v>3</v>
      </c>
      <c r="B10" s="12" t="s">
        <v>18</v>
      </c>
      <c r="C10" s="12" t="s">
        <v>19</v>
      </c>
      <c r="D10" s="60" t="s">
        <v>186</v>
      </c>
      <c r="E10" s="12">
        <v>0</v>
      </c>
      <c r="F10" s="12">
        <v>52.6</v>
      </c>
      <c r="G10" s="12">
        <f>F10-49</f>
        <v>3.6000000000000014</v>
      </c>
      <c r="H10" s="12">
        <f>G10+E10</f>
        <v>3.6000000000000014</v>
      </c>
      <c r="I10" s="161">
        <v>2</v>
      </c>
      <c r="J10" s="162">
        <f>172/F10</f>
        <v>3.2699619771863118</v>
      </c>
    </row>
    <row r="11" spans="1:10" ht="12.75">
      <c r="A11" s="11">
        <v>2</v>
      </c>
      <c r="B11" s="12" t="s">
        <v>66</v>
      </c>
      <c r="C11" s="12" t="s">
        <v>68</v>
      </c>
      <c r="D11" s="60" t="s">
        <v>187</v>
      </c>
      <c r="E11" s="12">
        <v>10</v>
      </c>
      <c r="F11" s="12">
        <v>47.4</v>
      </c>
      <c r="G11" s="12"/>
      <c r="H11" s="12">
        <f>G11+E11</f>
        <v>10</v>
      </c>
      <c r="I11" s="161">
        <v>3</v>
      </c>
      <c r="J11" s="162">
        <f>172/F11</f>
        <v>3.628691983122363</v>
      </c>
    </row>
    <row r="12" spans="1:10" ht="12.75">
      <c r="A12" s="11">
        <v>1</v>
      </c>
      <c r="B12" s="12" t="s">
        <v>194</v>
      </c>
      <c r="C12" s="12" t="s">
        <v>195</v>
      </c>
      <c r="D12" s="60" t="s">
        <v>218</v>
      </c>
      <c r="E12" s="12">
        <v>10</v>
      </c>
      <c r="F12" s="12">
        <v>49.2</v>
      </c>
      <c r="G12" s="12">
        <f>F12-49</f>
        <v>0.20000000000000284</v>
      </c>
      <c r="H12" s="12">
        <f>G12+E12</f>
        <v>10.200000000000003</v>
      </c>
      <c r="I12" s="67">
        <v>4</v>
      </c>
      <c r="J12" s="162">
        <f>172/F12</f>
        <v>3.495934959349593</v>
      </c>
    </row>
    <row r="13" spans="1:10" ht="13.5" thickBot="1">
      <c r="A13" s="11"/>
      <c r="B13" s="12"/>
      <c r="C13" s="12"/>
      <c r="D13" s="12"/>
      <c r="E13" s="12"/>
      <c r="F13" s="12"/>
      <c r="G13" s="12"/>
      <c r="H13" s="12"/>
      <c r="I13" s="94"/>
      <c r="J13" s="164"/>
    </row>
  </sheetData>
  <mergeCells count="11">
    <mergeCell ref="A5:C6"/>
    <mergeCell ref="D7:D8"/>
    <mergeCell ref="J7:J8"/>
    <mergeCell ref="A1:I2"/>
    <mergeCell ref="A3:B4"/>
    <mergeCell ref="C3:D4"/>
    <mergeCell ref="E3:I4"/>
    <mergeCell ref="B7:B8"/>
    <mergeCell ref="C7:C8"/>
    <mergeCell ref="E7:H7"/>
    <mergeCell ref="I7:I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I25" sqref="I25"/>
    </sheetView>
  </sheetViews>
  <sheetFormatPr defaultColWidth="9.00390625" defaultRowHeight="12.75"/>
  <cols>
    <col min="1" max="1" width="3.625" style="0" bestFit="1" customWidth="1"/>
    <col min="2" max="2" width="19.875" style="0" bestFit="1" customWidth="1"/>
    <col min="3" max="3" width="17.625" style="0" bestFit="1" customWidth="1"/>
    <col min="4" max="4" width="15.75390625" style="0" bestFit="1" customWidth="1"/>
  </cols>
  <sheetData>
    <row r="1" spans="1:9" ht="12.75">
      <c r="A1" s="196" t="s">
        <v>147</v>
      </c>
      <c r="B1" s="196"/>
      <c r="C1" s="196"/>
      <c r="D1" s="196"/>
      <c r="E1" s="196"/>
      <c r="F1" s="196"/>
      <c r="G1" s="196"/>
      <c r="H1" s="196"/>
      <c r="I1" s="196"/>
    </row>
    <row r="2" spans="1:9" ht="12.75">
      <c r="A2" s="196"/>
      <c r="B2" s="196"/>
      <c r="C2" s="196"/>
      <c r="D2" s="196"/>
      <c r="E2" s="196"/>
      <c r="F2" s="196"/>
      <c r="G2" s="196"/>
      <c r="H2" s="196"/>
      <c r="I2" s="196"/>
    </row>
    <row r="3" spans="1:9" ht="12.75" customHeight="1">
      <c r="A3" s="197" t="s">
        <v>128</v>
      </c>
      <c r="B3" s="197"/>
      <c r="C3" s="195" t="s">
        <v>245</v>
      </c>
      <c r="D3" s="195"/>
      <c r="E3" s="195" t="s">
        <v>244</v>
      </c>
      <c r="F3" s="195"/>
      <c r="G3" s="195"/>
      <c r="H3" s="195"/>
      <c r="I3" s="195"/>
    </row>
    <row r="4" spans="1:9" ht="13.5" customHeight="1" thickBot="1">
      <c r="A4" s="197"/>
      <c r="B4" s="197"/>
      <c r="C4" s="195"/>
      <c r="D4" s="195"/>
      <c r="E4" s="195"/>
      <c r="F4" s="195"/>
      <c r="G4" s="195"/>
      <c r="H4" s="195"/>
      <c r="I4" s="195"/>
    </row>
    <row r="5" spans="1:10" ht="18.75">
      <c r="A5" s="204" t="s">
        <v>132</v>
      </c>
      <c r="B5" s="204"/>
      <c r="C5" s="204"/>
      <c r="D5" s="57"/>
      <c r="E5" s="18" t="s">
        <v>145</v>
      </c>
      <c r="F5" s="34" t="s">
        <v>246</v>
      </c>
      <c r="G5" s="19" t="s">
        <v>85</v>
      </c>
      <c r="H5" s="10">
        <v>49</v>
      </c>
      <c r="I5" s="57"/>
      <c r="J5" s="55"/>
    </row>
    <row r="6" spans="1:10" ht="19.5" thickBot="1">
      <c r="A6" s="204"/>
      <c r="B6" s="204"/>
      <c r="C6" s="204"/>
      <c r="D6" s="57"/>
      <c r="E6" s="64" t="s">
        <v>146</v>
      </c>
      <c r="F6" s="123" t="s">
        <v>225</v>
      </c>
      <c r="G6" s="62" t="s">
        <v>86</v>
      </c>
      <c r="H6" s="122">
        <v>74</v>
      </c>
      <c r="I6" s="57"/>
      <c r="J6" s="55"/>
    </row>
    <row r="7" spans="1:10" ht="13.5" thickBot="1">
      <c r="A7" s="3" t="s">
        <v>1</v>
      </c>
      <c r="B7" s="186" t="s">
        <v>2</v>
      </c>
      <c r="C7" s="186" t="s">
        <v>3</v>
      </c>
      <c r="D7" s="186" t="s">
        <v>185</v>
      </c>
      <c r="E7" s="176" t="s">
        <v>4</v>
      </c>
      <c r="F7" s="184"/>
      <c r="G7" s="184"/>
      <c r="H7" s="184"/>
      <c r="I7" s="198" t="s">
        <v>7</v>
      </c>
      <c r="J7" s="175" t="s">
        <v>146</v>
      </c>
    </row>
    <row r="8" spans="1:10" ht="26.25" thickBot="1">
      <c r="A8" s="5" t="s">
        <v>8</v>
      </c>
      <c r="B8" s="187"/>
      <c r="C8" s="187"/>
      <c r="D8" s="192"/>
      <c r="E8" s="6" t="s">
        <v>9</v>
      </c>
      <c r="F8" s="6" t="s">
        <v>10</v>
      </c>
      <c r="G8" s="6" t="s">
        <v>11</v>
      </c>
      <c r="H8" s="6" t="s">
        <v>12</v>
      </c>
      <c r="I8" s="199"/>
      <c r="J8" s="194"/>
    </row>
    <row r="9" spans="1:10" ht="12.75">
      <c r="A9" s="11">
        <v>1</v>
      </c>
      <c r="B9" s="9" t="s">
        <v>73</v>
      </c>
      <c r="C9" s="9" t="s">
        <v>74</v>
      </c>
      <c r="D9" s="19" t="s">
        <v>191</v>
      </c>
      <c r="E9" s="12">
        <v>0</v>
      </c>
      <c r="F9" s="12">
        <v>55.9</v>
      </c>
      <c r="G9" s="12">
        <f>F9-49</f>
        <v>6.899999999999999</v>
      </c>
      <c r="H9" s="12">
        <f>E9+G9</f>
        <v>6.899999999999999</v>
      </c>
      <c r="I9" s="161">
        <v>1</v>
      </c>
      <c r="J9" s="162">
        <f>172/F9</f>
        <v>3.076923076923077</v>
      </c>
    </row>
    <row r="10" spans="1:10" ht="12.75">
      <c r="A10" s="11">
        <v>5</v>
      </c>
      <c r="B10" s="12" t="s">
        <v>28</v>
      </c>
      <c r="C10" s="12" t="s">
        <v>29</v>
      </c>
      <c r="D10" s="60" t="s">
        <v>186</v>
      </c>
      <c r="E10" s="12">
        <v>5</v>
      </c>
      <c r="F10" s="12">
        <v>56.8</v>
      </c>
      <c r="G10" s="12">
        <f>F10-49</f>
        <v>7.799999999999997</v>
      </c>
      <c r="H10" s="12">
        <f>G10+E10</f>
        <v>12.799999999999997</v>
      </c>
      <c r="I10" s="161">
        <v>2</v>
      </c>
      <c r="J10" s="162">
        <f>172/F10</f>
        <v>3.028169014084507</v>
      </c>
    </row>
    <row r="11" spans="1:10" ht="12.75">
      <c r="A11" s="11">
        <v>2</v>
      </c>
      <c r="B11" s="12" t="s">
        <v>66</v>
      </c>
      <c r="C11" s="12" t="s">
        <v>69</v>
      </c>
      <c r="D11" s="60" t="s">
        <v>187</v>
      </c>
      <c r="E11" s="12"/>
      <c r="F11" s="60" t="s">
        <v>228</v>
      </c>
      <c r="G11" s="12"/>
      <c r="H11" s="12">
        <v>100</v>
      </c>
      <c r="I11" s="161" t="s">
        <v>229</v>
      </c>
      <c r="J11" s="163"/>
    </row>
    <row r="12" spans="1:10" ht="12.75">
      <c r="A12" s="11">
        <v>3</v>
      </c>
      <c r="B12" s="12" t="s">
        <v>58</v>
      </c>
      <c r="C12" s="12" t="s">
        <v>59</v>
      </c>
      <c r="D12" s="60" t="s">
        <v>187</v>
      </c>
      <c r="E12" s="12"/>
      <c r="F12" s="60" t="s">
        <v>228</v>
      </c>
      <c r="G12" s="12"/>
      <c r="H12" s="12">
        <v>100</v>
      </c>
      <c r="I12" s="161" t="s">
        <v>229</v>
      </c>
      <c r="J12" s="163"/>
    </row>
    <row r="13" spans="1:10" ht="12.75">
      <c r="A13" s="11">
        <v>4</v>
      </c>
      <c r="B13" s="12" t="s">
        <v>70</v>
      </c>
      <c r="C13" s="12" t="s">
        <v>71</v>
      </c>
      <c r="D13" s="60" t="s">
        <v>187</v>
      </c>
      <c r="E13" s="12"/>
      <c r="F13" s="60" t="s">
        <v>228</v>
      </c>
      <c r="G13" s="12"/>
      <c r="H13" s="12">
        <v>100</v>
      </c>
      <c r="I13" s="161" t="s">
        <v>229</v>
      </c>
      <c r="J13" s="163"/>
    </row>
    <row r="14" spans="1:10" ht="12.75">
      <c r="A14" s="11">
        <v>6</v>
      </c>
      <c r="B14" s="12" t="s">
        <v>248</v>
      </c>
      <c r="C14" s="12" t="s">
        <v>76</v>
      </c>
      <c r="D14" s="60" t="s">
        <v>249</v>
      </c>
      <c r="E14" s="12"/>
      <c r="F14" s="60" t="s">
        <v>228</v>
      </c>
      <c r="G14" s="12"/>
      <c r="H14" s="12">
        <v>100</v>
      </c>
      <c r="I14" s="67" t="s">
        <v>229</v>
      </c>
      <c r="J14" s="163"/>
    </row>
    <row r="15" spans="1:10" ht="13.5" thickBot="1">
      <c r="A15" s="14"/>
      <c r="B15" s="15"/>
      <c r="C15" s="15"/>
      <c r="D15" s="15"/>
      <c r="E15" s="15"/>
      <c r="F15" s="15"/>
      <c r="G15" s="15"/>
      <c r="H15" s="15"/>
      <c r="I15" s="102"/>
      <c r="J15" s="164"/>
    </row>
  </sheetData>
  <mergeCells count="11">
    <mergeCell ref="A5:C6"/>
    <mergeCell ref="D7:D8"/>
    <mergeCell ref="J7:J8"/>
    <mergeCell ref="A1:I2"/>
    <mergeCell ref="A3:B4"/>
    <mergeCell ref="C3:D4"/>
    <mergeCell ref="E3:I4"/>
    <mergeCell ref="B7:B8"/>
    <mergeCell ref="C7:C8"/>
    <mergeCell ref="E7:H7"/>
    <mergeCell ref="I7:I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L8" sqref="L8"/>
    </sheetView>
  </sheetViews>
  <sheetFormatPr defaultColWidth="9.00390625" defaultRowHeight="12.75"/>
  <cols>
    <col min="1" max="1" width="3.625" style="0" bestFit="1" customWidth="1"/>
    <col min="2" max="2" width="21.75390625" style="0" customWidth="1"/>
    <col min="3" max="3" width="12.625" style="0" bestFit="1" customWidth="1"/>
    <col min="4" max="4" width="14.375" style="0" bestFit="1" customWidth="1"/>
  </cols>
  <sheetData>
    <row r="1" spans="1:9" ht="12.75">
      <c r="A1" s="196" t="s">
        <v>147</v>
      </c>
      <c r="B1" s="196"/>
      <c r="C1" s="196"/>
      <c r="D1" s="196"/>
      <c r="E1" s="196"/>
      <c r="F1" s="196"/>
      <c r="G1" s="196"/>
      <c r="H1" s="196"/>
      <c r="I1" s="196"/>
    </row>
    <row r="2" spans="1:9" ht="12.75">
      <c r="A2" s="196"/>
      <c r="B2" s="196"/>
      <c r="C2" s="196"/>
      <c r="D2" s="196"/>
      <c r="E2" s="196"/>
      <c r="F2" s="196"/>
      <c r="G2" s="196"/>
      <c r="H2" s="196"/>
      <c r="I2" s="196"/>
    </row>
    <row r="3" spans="1:9" ht="12.75" customHeight="1">
      <c r="A3" s="197" t="s">
        <v>130</v>
      </c>
      <c r="B3" s="197"/>
      <c r="C3" s="195" t="s">
        <v>245</v>
      </c>
      <c r="D3" s="195"/>
      <c r="E3" s="195" t="s">
        <v>251</v>
      </c>
      <c r="F3" s="195"/>
      <c r="G3" s="195"/>
      <c r="H3" s="195"/>
      <c r="I3" s="195"/>
    </row>
    <row r="4" spans="1:9" ht="13.5" customHeight="1" thickBot="1">
      <c r="A4" s="197"/>
      <c r="B4" s="197"/>
      <c r="C4" s="195"/>
      <c r="D4" s="195"/>
      <c r="E4" s="195"/>
      <c r="F4" s="195"/>
      <c r="G4" s="195"/>
      <c r="H4" s="195"/>
      <c r="I4" s="195"/>
    </row>
    <row r="5" spans="1:10" ht="18.75">
      <c r="A5" s="204" t="s">
        <v>132</v>
      </c>
      <c r="B5" s="204"/>
      <c r="C5" s="204"/>
      <c r="D5" s="57"/>
      <c r="E5" s="18" t="s">
        <v>145</v>
      </c>
      <c r="F5" s="34" t="s">
        <v>246</v>
      </c>
      <c r="G5" s="19" t="s">
        <v>85</v>
      </c>
      <c r="H5" s="10">
        <v>49</v>
      </c>
      <c r="I5" s="57"/>
      <c r="J5" s="55"/>
    </row>
    <row r="6" spans="1:10" ht="19.5" thickBot="1">
      <c r="A6" s="204"/>
      <c r="B6" s="204"/>
      <c r="C6" s="204"/>
      <c r="D6" s="57"/>
      <c r="E6" s="64" t="s">
        <v>146</v>
      </c>
      <c r="F6" s="123" t="s">
        <v>225</v>
      </c>
      <c r="G6" s="62" t="s">
        <v>86</v>
      </c>
      <c r="H6" s="122">
        <v>74</v>
      </c>
      <c r="I6" s="57"/>
      <c r="J6" s="55"/>
    </row>
    <row r="7" spans="1:10" ht="13.5" thickBot="1">
      <c r="A7" s="3" t="s">
        <v>1</v>
      </c>
      <c r="B7" s="186" t="s">
        <v>2</v>
      </c>
      <c r="C7" s="186" t="s">
        <v>3</v>
      </c>
      <c r="D7" s="186" t="s">
        <v>185</v>
      </c>
      <c r="E7" s="176" t="s">
        <v>4</v>
      </c>
      <c r="F7" s="184"/>
      <c r="G7" s="184"/>
      <c r="H7" s="184"/>
      <c r="I7" s="198" t="s">
        <v>7</v>
      </c>
      <c r="J7" s="175" t="s">
        <v>146</v>
      </c>
    </row>
    <row r="8" spans="1:10" ht="26.25" thickBot="1">
      <c r="A8" s="5" t="s">
        <v>8</v>
      </c>
      <c r="B8" s="187"/>
      <c r="C8" s="187"/>
      <c r="D8" s="192"/>
      <c r="E8" s="6" t="s">
        <v>9</v>
      </c>
      <c r="F8" s="6" t="s">
        <v>10</v>
      </c>
      <c r="G8" s="6" t="s">
        <v>11</v>
      </c>
      <c r="H8" s="6" t="s">
        <v>12</v>
      </c>
      <c r="I8" s="199"/>
      <c r="J8" s="194"/>
    </row>
    <row r="9" spans="1:10" ht="12.75">
      <c r="A9" s="11">
        <v>2</v>
      </c>
      <c r="B9" s="12" t="s">
        <v>151</v>
      </c>
      <c r="C9" s="12" t="s">
        <v>252</v>
      </c>
      <c r="D9" s="60" t="s">
        <v>188</v>
      </c>
      <c r="E9" s="12">
        <v>0</v>
      </c>
      <c r="F9" s="12">
        <v>52.5</v>
      </c>
      <c r="G9" s="12">
        <f>F9-49</f>
        <v>3.5</v>
      </c>
      <c r="H9" s="12">
        <f>E9+G9</f>
        <v>3.5</v>
      </c>
      <c r="I9" s="161">
        <v>1</v>
      </c>
      <c r="J9" s="162">
        <f>172/F9</f>
        <v>3.276190476190476</v>
      </c>
    </row>
    <row r="10" spans="1:10" ht="12.75">
      <c r="A10" s="11">
        <v>3</v>
      </c>
      <c r="B10" s="12" t="s">
        <v>66</v>
      </c>
      <c r="C10" s="12" t="s">
        <v>67</v>
      </c>
      <c r="D10" s="60" t="s">
        <v>187</v>
      </c>
      <c r="E10" s="12">
        <v>5</v>
      </c>
      <c r="F10" s="91">
        <v>51</v>
      </c>
      <c r="G10" s="91">
        <f>F10-49</f>
        <v>2</v>
      </c>
      <c r="H10" s="91">
        <f>E10+G10</f>
        <v>7</v>
      </c>
      <c r="I10" s="161">
        <v>2</v>
      </c>
      <c r="J10" s="162">
        <f>172/F10</f>
        <v>3.372549019607843</v>
      </c>
    </row>
    <row r="11" spans="1:10" ht="12.75">
      <c r="A11" s="11">
        <v>1</v>
      </c>
      <c r="B11" s="12" t="s">
        <v>72</v>
      </c>
      <c r="C11" s="12" t="s">
        <v>126</v>
      </c>
      <c r="D11" s="60" t="s">
        <v>187</v>
      </c>
      <c r="E11" s="12">
        <v>5</v>
      </c>
      <c r="F11" s="12">
        <v>60.8</v>
      </c>
      <c r="G11" s="12">
        <f>F11-49</f>
        <v>11.799999999999997</v>
      </c>
      <c r="H11" s="12">
        <f>G11+E11</f>
        <v>16.799999999999997</v>
      </c>
      <c r="I11" s="161">
        <v>3</v>
      </c>
      <c r="J11" s="162">
        <f>172/F11</f>
        <v>2.8289473684210527</v>
      </c>
    </row>
    <row r="12" spans="1:10" ht="13.5" thickBot="1">
      <c r="A12" s="11"/>
      <c r="B12" s="12"/>
      <c r="C12" s="12"/>
      <c r="D12" s="60"/>
      <c r="E12" s="12"/>
      <c r="F12" s="12"/>
      <c r="G12" s="12"/>
      <c r="H12" s="12"/>
      <c r="I12" s="166"/>
      <c r="J12" s="164"/>
    </row>
  </sheetData>
  <mergeCells count="11">
    <mergeCell ref="A5:C6"/>
    <mergeCell ref="D7:D8"/>
    <mergeCell ref="J7:J8"/>
    <mergeCell ref="A1:I2"/>
    <mergeCell ref="A3:B4"/>
    <mergeCell ref="C3:D4"/>
    <mergeCell ref="E3:I4"/>
    <mergeCell ref="B7:B8"/>
    <mergeCell ref="C7:C8"/>
    <mergeCell ref="E7:H7"/>
    <mergeCell ref="I7:I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G27" sqref="G27"/>
    </sheetView>
  </sheetViews>
  <sheetFormatPr defaultColWidth="9.00390625" defaultRowHeight="12.75"/>
  <cols>
    <col min="1" max="1" width="3.625" style="0" bestFit="1" customWidth="1"/>
    <col min="2" max="2" width="19.375" style="0" bestFit="1" customWidth="1"/>
    <col min="3" max="3" width="15.375" style="0" bestFit="1" customWidth="1"/>
    <col min="4" max="4" width="14.375" style="0" bestFit="1" customWidth="1"/>
  </cols>
  <sheetData>
    <row r="1" spans="1:9" ht="12.75">
      <c r="A1" s="196" t="s">
        <v>147</v>
      </c>
      <c r="B1" s="196"/>
      <c r="C1" s="196"/>
      <c r="D1" s="196"/>
      <c r="E1" s="196"/>
      <c r="F1" s="196"/>
      <c r="G1" s="196"/>
      <c r="H1" s="196"/>
      <c r="I1" s="196"/>
    </row>
    <row r="2" spans="1:9" ht="12.75">
      <c r="A2" s="196"/>
      <c r="B2" s="196"/>
      <c r="C2" s="196"/>
      <c r="D2" s="196"/>
      <c r="E2" s="196"/>
      <c r="F2" s="196"/>
      <c r="G2" s="196"/>
      <c r="H2" s="196"/>
      <c r="I2" s="196"/>
    </row>
    <row r="3" spans="1:9" ht="12.75" customHeight="1">
      <c r="A3" s="197" t="s">
        <v>129</v>
      </c>
      <c r="B3" s="197"/>
      <c r="C3" s="195" t="s">
        <v>245</v>
      </c>
      <c r="D3" s="195"/>
      <c r="E3" s="195" t="s">
        <v>251</v>
      </c>
      <c r="F3" s="195"/>
      <c r="G3" s="195"/>
      <c r="H3" s="195"/>
      <c r="I3" s="195"/>
    </row>
    <row r="4" spans="1:9" ht="13.5" customHeight="1" thickBot="1">
      <c r="A4" s="197"/>
      <c r="B4" s="197"/>
      <c r="C4" s="195"/>
      <c r="D4" s="195"/>
      <c r="E4" s="195"/>
      <c r="F4" s="195"/>
      <c r="G4" s="195"/>
      <c r="H4" s="195"/>
      <c r="I4" s="195"/>
    </row>
    <row r="5" spans="1:10" ht="18.75">
      <c r="A5" s="204" t="s">
        <v>132</v>
      </c>
      <c r="B5" s="204"/>
      <c r="C5" s="204"/>
      <c r="D5" s="57"/>
      <c r="E5" s="18" t="s">
        <v>145</v>
      </c>
      <c r="F5" s="34" t="s">
        <v>246</v>
      </c>
      <c r="G5" s="19" t="s">
        <v>85</v>
      </c>
      <c r="H5" s="10">
        <v>49</v>
      </c>
      <c r="I5" s="57"/>
      <c r="J5" s="55"/>
    </row>
    <row r="6" spans="1:10" ht="19.5" thickBot="1">
      <c r="A6" s="204"/>
      <c r="B6" s="204"/>
      <c r="C6" s="204"/>
      <c r="D6" s="57"/>
      <c r="E6" s="64" t="s">
        <v>146</v>
      </c>
      <c r="F6" s="123" t="s">
        <v>225</v>
      </c>
      <c r="G6" s="62" t="s">
        <v>86</v>
      </c>
      <c r="H6" s="122">
        <v>74</v>
      </c>
      <c r="I6" s="57"/>
      <c r="J6" s="55"/>
    </row>
    <row r="7" spans="1:10" ht="13.5" thickBot="1">
      <c r="A7" s="3" t="s">
        <v>1</v>
      </c>
      <c r="B7" s="186" t="s">
        <v>2</v>
      </c>
      <c r="C7" s="186" t="s">
        <v>3</v>
      </c>
      <c r="D7" s="186" t="s">
        <v>185</v>
      </c>
      <c r="E7" s="176" t="s">
        <v>4</v>
      </c>
      <c r="F7" s="184"/>
      <c r="G7" s="184"/>
      <c r="H7" s="184"/>
      <c r="I7" s="198" t="s">
        <v>7</v>
      </c>
      <c r="J7" s="175" t="s">
        <v>146</v>
      </c>
    </row>
    <row r="8" spans="1:10" ht="26.25" thickBot="1">
      <c r="A8" s="5" t="s">
        <v>8</v>
      </c>
      <c r="B8" s="187"/>
      <c r="C8" s="187"/>
      <c r="D8" s="192"/>
      <c r="E8" s="6" t="s">
        <v>9</v>
      </c>
      <c r="F8" s="6" t="s">
        <v>10</v>
      </c>
      <c r="G8" s="6" t="s">
        <v>11</v>
      </c>
      <c r="H8" s="6" t="s">
        <v>12</v>
      </c>
      <c r="I8" s="199"/>
      <c r="J8" s="194"/>
    </row>
    <row r="9" spans="1:10" ht="12.75">
      <c r="A9" s="11">
        <v>3</v>
      </c>
      <c r="B9" s="12" t="s">
        <v>22</v>
      </c>
      <c r="C9" s="12" t="s">
        <v>98</v>
      </c>
      <c r="D9" s="60" t="s">
        <v>187</v>
      </c>
      <c r="E9" s="12">
        <v>0</v>
      </c>
      <c r="F9" s="12">
        <v>47.2</v>
      </c>
      <c r="G9" s="12"/>
      <c r="H9" s="12">
        <v>0</v>
      </c>
      <c r="I9" s="161">
        <v>1</v>
      </c>
      <c r="J9" s="162">
        <f>172/F9</f>
        <v>3.644067796610169</v>
      </c>
    </row>
    <row r="10" spans="1:10" ht="12.75">
      <c r="A10" s="11">
        <v>5</v>
      </c>
      <c r="B10" s="12" t="s">
        <v>216</v>
      </c>
      <c r="C10" s="12" t="s">
        <v>217</v>
      </c>
      <c r="D10" s="60" t="s">
        <v>218</v>
      </c>
      <c r="E10" s="12">
        <v>0</v>
      </c>
      <c r="F10" s="12">
        <v>58.3</v>
      </c>
      <c r="G10" s="12">
        <f>F10-49</f>
        <v>9.299999999999997</v>
      </c>
      <c r="H10" s="12">
        <f>G10+E10</f>
        <v>9.299999999999997</v>
      </c>
      <c r="I10" s="161">
        <v>2</v>
      </c>
      <c r="J10" s="162">
        <f>172/F10</f>
        <v>2.9502572898799317</v>
      </c>
    </row>
    <row r="11" spans="1:10" ht="12.75">
      <c r="A11" s="11">
        <v>2</v>
      </c>
      <c r="B11" s="12" t="s">
        <v>196</v>
      </c>
      <c r="C11" s="12" t="s">
        <v>213</v>
      </c>
      <c r="D11" s="60" t="s">
        <v>218</v>
      </c>
      <c r="E11" s="12">
        <v>10</v>
      </c>
      <c r="F11" s="12">
        <v>57.7</v>
      </c>
      <c r="G11" s="12">
        <f>F11-49</f>
        <v>8.700000000000003</v>
      </c>
      <c r="H11" s="12">
        <f>G11+E11</f>
        <v>18.700000000000003</v>
      </c>
      <c r="I11" s="161">
        <v>3</v>
      </c>
      <c r="J11" s="162">
        <f>172/F11</f>
        <v>2.9809358752166375</v>
      </c>
    </row>
    <row r="12" spans="1:10" ht="12.75">
      <c r="A12" s="11">
        <v>1</v>
      </c>
      <c r="B12" s="12" t="s">
        <v>37</v>
      </c>
      <c r="C12" s="12" t="s">
        <v>38</v>
      </c>
      <c r="D12" s="60" t="s">
        <v>186</v>
      </c>
      <c r="E12" s="12"/>
      <c r="F12" s="60" t="s">
        <v>228</v>
      </c>
      <c r="G12" s="12"/>
      <c r="H12" s="12">
        <v>100</v>
      </c>
      <c r="I12" s="67" t="s">
        <v>229</v>
      </c>
      <c r="J12" s="163"/>
    </row>
    <row r="13" spans="1:10" ht="13.5" thickBot="1">
      <c r="A13" s="11">
        <v>4</v>
      </c>
      <c r="B13" s="12" t="s">
        <v>58</v>
      </c>
      <c r="C13" s="12" t="s">
        <v>100</v>
      </c>
      <c r="D13" s="60" t="s">
        <v>187</v>
      </c>
      <c r="E13" s="12"/>
      <c r="F13" s="60" t="s">
        <v>228</v>
      </c>
      <c r="G13" s="12"/>
      <c r="H13" s="12">
        <v>100</v>
      </c>
      <c r="I13" s="161" t="s">
        <v>229</v>
      </c>
      <c r="J13" s="164"/>
    </row>
  </sheetData>
  <mergeCells count="11">
    <mergeCell ref="A5:C6"/>
    <mergeCell ref="D7:D8"/>
    <mergeCell ref="J7:J8"/>
    <mergeCell ref="A1:I2"/>
    <mergeCell ref="A3:B4"/>
    <mergeCell ref="C3:D4"/>
    <mergeCell ref="E3:I4"/>
    <mergeCell ref="B7:B8"/>
    <mergeCell ref="C7:C8"/>
    <mergeCell ref="E7:H7"/>
    <mergeCell ref="I7:I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82"/>
  <sheetViews>
    <sheetView view="pageBreakPreview" zoomScaleNormal="75" zoomScaleSheetLayoutView="100" workbookViewId="0" topLeftCell="A25">
      <selection activeCell="H21" sqref="H21"/>
    </sheetView>
  </sheetViews>
  <sheetFormatPr defaultColWidth="9.00390625" defaultRowHeight="12.75"/>
  <cols>
    <col min="1" max="1" width="3.375" style="0" customWidth="1"/>
    <col min="2" max="2" width="16.125" style="0" customWidth="1"/>
    <col min="3" max="3" width="23.75390625" style="0" customWidth="1"/>
    <col min="4" max="4" width="17.75390625" style="0" customWidth="1"/>
    <col min="5" max="6" width="10.75390625" style="0" customWidth="1"/>
    <col min="7" max="7" width="9.75390625" style="0" customWidth="1"/>
    <col min="8" max="8" width="10.75390625" style="0" customWidth="1"/>
    <col min="9" max="10" width="9.75390625" style="0" customWidth="1"/>
    <col min="11" max="11" width="8.75390625" style="0" customWidth="1"/>
  </cols>
  <sheetData>
    <row r="1" spans="1:11" ht="15" customHeight="1">
      <c r="A1" s="181" t="s">
        <v>94</v>
      </c>
      <c r="B1" s="181"/>
      <c r="C1" s="181"/>
      <c r="D1" s="181"/>
      <c r="E1" s="227" t="s">
        <v>258</v>
      </c>
      <c r="F1" s="227"/>
      <c r="G1" s="227"/>
      <c r="H1" s="2" t="s">
        <v>90</v>
      </c>
      <c r="I1" s="125" t="s">
        <v>254</v>
      </c>
      <c r="J1" s="125"/>
      <c r="K1" s="125"/>
    </row>
    <row r="2" spans="1:4" ht="7.5" customHeight="1" thickBot="1">
      <c r="A2" s="1"/>
      <c r="B2" s="1"/>
      <c r="C2" s="1"/>
      <c r="D2" s="1"/>
    </row>
    <row r="3" spans="1:8" ht="12.75">
      <c r="A3" s="188" t="s">
        <v>91</v>
      </c>
      <c r="B3" s="188"/>
      <c r="C3" s="188"/>
      <c r="D3" s="188"/>
      <c r="E3" s="18" t="s">
        <v>145</v>
      </c>
      <c r="F3" s="34" t="s">
        <v>224</v>
      </c>
      <c r="G3" s="19" t="s">
        <v>85</v>
      </c>
      <c r="H3" s="10">
        <v>41</v>
      </c>
    </row>
    <row r="4" spans="1:8" ht="13.5" thickBot="1">
      <c r="A4" s="188"/>
      <c r="B4" s="188"/>
      <c r="C4" s="188"/>
      <c r="D4" s="188"/>
      <c r="E4" s="21" t="s">
        <v>146</v>
      </c>
      <c r="F4" s="35" t="s">
        <v>225</v>
      </c>
      <c r="G4" s="22" t="s">
        <v>86</v>
      </c>
      <c r="H4" s="16">
        <v>82</v>
      </c>
    </row>
    <row r="5" ht="13.5" thickBot="1"/>
    <row r="6" spans="1:11" ht="13.5" thickBot="1">
      <c r="A6" s="3" t="s">
        <v>1</v>
      </c>
      <c r="B6" s="186" t="s">
        <v>87</v>
      </c>
      <c r="C6" s="231" t="s">
        <v>2</v>
      </c>
      <c r="D6" s="186" t="s">
        <v>3</v>
      </c>
      <c r="E6" s="176" t="s">
        <v>4</v>
      </c>
      <c r="F6" s="184"/>
      <c r="G6" s="184"/>
      <c r="H6" s="184"/>
      <c r="I6" s="228" t="s">
        <v>88</v>
      </c>
      <c r="J6" s="228" t="s">
        <v>89</v>
      </c>
      <c r="K6" s="191" t="s">
        <v>7</v>
      </c>
    </row>
    <row r="7" spans="1:11" ht="26.25" thickBot="1">
      <c r="A7" s="17" t="s">
        <v>8</v>
      </c>
      <c r="B7" s="173"/>
      <c r="C7" s="232"/>
      <c r="D7" s="173"/>
      <c r="E7" s="4" t="s">
        <v>9</v>
      </c>
      <c r="F7" s="4" t="s">
        <v>10</v>
      </c>
      <c r="G7" s="4" t="s">
        <v>11</v>
      </c>
      <c r="H7" s="4" t="s">
        <v>12</v>
      </c>
      <c r="I7" s="229"/>
      <c r="J7" s="229"/>
      <c r="K7" s="230"/>
    </row>
    <row r="8" spans="1:11" ht="12.75">
      <c r="A8" s="211">
        <v>2</v>
      </c>
      <c r="B8" s="213" t="s">
        <v>102</v>
      </c>
      <c r="C8" s="23" t="s">
        <v>60</v>
      </c>
      <c r="D8" s="23" t="s">
        <v>61</v>
      </c>
      <c r="E8" s="23">
        <v>0</v>
      </c>
      <c r="F8" s="23">
        <v>36.4</v>
      </c>
      <c r="G8" s="23">
        <v>0</v>
      </c>
      <c r="H8" s="23">
        <f aca="true" t="shared" si="0" ref="H8:H13">E8+G8</f>
        <v>0</v>
      </c>
      <c r="I8" s="208">
        <f>SUM(H8:H10)</f>
        <v>0</v>
      </c>
      <c r="J8" s="208">
        <f>SUM(F8:F10)</f>
        <v>106.60000000000001</v>
      </c>
      <c r="K8" s="240">
        <v>1</v>
      </c>
    </row>
    <row r="9" spans="1:11" ht="12.75">
      <c r="A9" s="206"/>
      <c r="B9" s="209"/>
      <c r="C9" s="25" t="s">
        <v>20</v>
      </c>
      <c r="D9" s="25" t="s">
        <v>21</v>
      </c>
      <c r="E9" s="25">
        <v>0</v>
      </c>
      <c r="F9" s="78">
        <v>37</v>
      </c>
      <c r="G9" s="25">
        <v>0</v>
      </c>
      <c r="H9" s="152">
        <f t="shared" si="0"/>
        <v>0</v>
      </c>
      <c r="I9" s="209"/>
      <c r="J9" s="209"/>
      <c r="K9" s="241"/>
    </row>
    <row r="10" spans="1:11" ht="13.5" thickBot="1">
      <c r="A10" s="212"/>
      <c r="B10" s="214"/>
      <c r="C10" s="153" t="s">
        <v>53</v>
      </c>
      <c r="D10" s="153" t="s">
        <v>55</v>
      </c>
      <c r="E10" s="153">
        <v>0</v>
      </c>
      <c r="F10" s="153">
        <v>33.2</v>
      </c>
      <c r="G10" s="153">
        <v>0</v>
      </c>
      <c r="H10" s="152">
        <f t="shared" si="0"/>
        <v>0</v>
      </c>
      <c r="I10" s="210"/>
      <c r="J10" s="210"/>
      <c r="K10" s="242"/>
    </row>
    <row r="11" spans="1:11" ht="12.75">
      <c r="A11" s="215">
        <v>9</v>
      </c>
      <c r="B11" s="218" t="s">
        <v>181</v>
      </c>
      <c r="C11" s="27" t="s">
        <v>16</v>
      </c>
      <c r="D11" s="27" t="s">
        <v>17</v>
      </c>
      <c r="E11" s="27">
        <v>0</v>
      </c>
      <c r="F11" s="27">
        <v>38.1</v>
      </c>
      <c r="G11" s="27">
        <v>0</v>
      </c>
      <c r="H11" s="27">
        <f t="shared" si="0"/>
        <v>0</v>
      </c>
      <c r="I11" s="208">
        <f>SUM(H11:H13)</f>
        <v>0</v>
      </c>
      <c r="J11" s="208">
        <f>SUM(F11:F13)</f>
        <v>109.10000000000001</v>
      </c>
      <c r="K11" s="243">
        <v>2</v>
      </c>
    </row>
    <row r="12" spans="1:11" ht="12.75">
      <c r="A12" s="216"/>
      <c r="B12" s="219"/>
      <c r="C12" s="25" t="s">
        <v>133</v>
      </c>
      <c r="D12" s="25" t="s">
        <v>134</v>
      </c>
      <c r="E12" s="25">
        <v>0</v>
      </c>
      <c r="F12" s="25">
        <v>36.7</v>
      </c>
      <c r="G12" s="25">
        <v>0</v>
      </c>
      <c r="H12" s="25">
        <f t="shared" si="0"/>
        <v>0</v>
      </c>
      <c r="I12" s="209"/>
      <c r="J12" s="209"/>
      <c r="K12" s="241"/>
    </row>
    <row r="13" spans="1:11" ht="13.5" thickBot="1">
      <c r="A13" s="217"/>
      <c r="B13" s="220"/>
      <c r="C13" s="26" t="s">
        <v>25</v>
      </c>
      <c r="D13" s="26" t="s">
        <v>27</v>
      </c>
      <c r="E13" s="26">
        <v>0</v>
      </c>
      <c r="F13" s="26">
        <v>34.3</v>
      </c>
      <c r="G13" s="26">
        <v>0</v>
      </c>
      <c r="H13" s="26">
        <f t="shared" si="0"/>
        <v>0</v>
      </c>
      <c r="I13" s="210"/>
      <c r="J13" s="210"/>
      <c r="K13" s="244"/>
    </row>
    <row r="14" spans="1:11" ht="12.75">
      <c r="A14" s="221">
        <v>10</v>
      </c>
      <c r="B14" s="223" t="s">
        <v>137</v>
      </c>
      <c r="C14" s="152" t="s">
        <v>28</v>
      </c>
      <c r="D14" s="152" t="s">
        <v>29</v>
      </c>
      <c r="E14" s="152">
        <v>0</v>
      </c>
      <c r="F14" s="152">
        <v>40.5</v>
      </c>
      <c r="G14" s="152">
        <v>0</v>
      </c>
      <c r="H14" s="152">
        <f>G14+E14</f>
        <v>0</v>
      </c>
      <c r="I14" s="208">
        <f>SUM(H14:H16)</f>
        <v>0.8999999999999986</v>
      </c>
      <c r="J14" s="208">
        <f>SUM(F14:F16)</f>
        <v>121.2</v>
      </c>
      <c r="K14" s="240">
        <v>3</v>
      </c>
    </row>
    <row r="15" spans="1:11" ht="12.75">
      <c r="A15" s="216"/>
      <c r="B15" s="219"/>
      <c r="C15" s="25" t="s">
        <v>18</v>
      </c>
      <c r="D15" s="25" t="s">
        <v>19</v>
      </c>
      <c r="E15" s="25">
        <v>0</v>
      </c>
      <c r="F15" s="25">
        <v>41.9</v>
      </c>
      <c r="G15" s="25">
        <f>F15-41</f>
        <v>0.8999999999999986</v>
      </c>
      <c r="H15" s="25">
        <f>G15+E15</f>
        <v>0.8999999999999986</v>
      </c>
      <c r="I15" s="209"/>
      <c r="J15" s="209"/>
      <c r="K15" s="241"/>
    </row>
    <row r="16" spans="1:11" ht="13.5" thickBot="1">
      <c r="A16" s="222"/>
      <c r="B16" s="224"/>
      <c r="C16" s="153" t="s">
        <v>25</v>
      </c>
      <c r="D16" s="153" t="s">
        <v>26</v>
      </c>
      <c r="E16" s="153">
        <v>0</v>
      </c>
      <c r="F16" s="153">
        <v>38.8</v>
      </c>
      <c r="G16" s="153">
        <v>0</v>
      </c>
      <c r="H16" s="153">
        <f>G16+E16</f>
        <v>0</v>
      </c>
      <c r="I16" s="210"/>
      <c r="J16" s="210"/>
      <c r="K16" s="242"/>
    </row>
    <row r="17" spans="1:11" ht="12.75">
      <c r="A17" s="205">
        <v>3</v>
      </c>
      <c r="B17" s="208" t="s">
        <v>103</v>
      </c>
      <c r="C17" s="27" t="s">
        <v>20</v>
      </c>
      <c r="D17" s="27" t="s">
        <v>45</v>
      </c>
      <c r="E17" s="27">
        <v>0</v>
      </c>
      <c r="F17" s="27">
        <v>32.4</v>
      </c>
      <c r="G17" s="27">
        <v>0</v>
      </c>
      <c r="H17" s="27">
        <f>E17+G17</f>
        <v>0</v>
      </c>
      <c r="I17" s="208">
        <f>SUM(H17:H19)</f>
        <v>10</v>
      </c>
      <c r="J17" s="208">
        <f>SUM(F17:F19)</f>
        <v>104.69999999999999</v>
      </c>
      <c r="K17" s="233">
        <v>4</v>
      </c>
    </row>
    <row r="18" spans="1:11" ht="12.75">
      <c r="A18" s="206"/>
      <c r="B18" s="209"/>
      <c r="C18" s="25" t="s">
        <v>22</v>
      </c>
      <c r="D18" s="25" t="s">
        <v>23</v>
      </c>
      <c r="E18" s="25">
        <v>0</v>
      </c>
      <c r="F18" s="25">
        <v>35.4</v>
      </c>
      <c r="G18" s="25">
        <v>0</v>
      </c>
      <c r="H18" s="25">
        <f>E18+G18</f>
        <v>0</v>
      </c>
      <c r="I18" s="209"/>
      <c r="J18" s="209"/>
      <c r="K18" s="234"/>
    </row>
    <row r="19" spans="1:11" ht="13.5" thickBot="1">
      <c r="A19" s="207"/>
      <c r="B19" s="210"/>
      <c r="C19" s="26" t="s">
        <v>46</v>
      </c>
      <c r="D19" s="26" t="s">
        <v>47</v>
      </c>
      <c r="E19" s="26">
        <v>10</v>
      </c>
      <c r="F19" s="26">
        <v>36.9</v>
      </c>
      <c r="G19" s="26">
        <v>0</v>
      </c>
      <c r="H19" s="26">
        <f>E19+G19</f>
        <v>10</v>
      </c>
      <c r="I19" s="210"/>
      <c r="J19" s="210"/>
      <c r="K19" s="235"/>
    </row>
    <row r="20" spans="1:11" ht="12.75">
      <c r="A20" s="205">
        <v>5</v>
      </c>
      <c r="B20" s="208" t="s">
        <v>105</v>
      </c>
      <c r="C20" s="27" t="s">
        <v>58</v>
      </c>
      <c r="D20" s="27" t="s">
        <v>59</v>
      </c>
      <c r="E20" s="27">
        <v>5</v>
      </c>
      <c r="F20" s="154">
        <v>38</v>
      </c>
      <c r="G20" s="27">
        <v>0</v>
      </c>
      <c r="H20" s="27">
        <f aca="true" t="shared" si="1" ref="H20:H26">G20+E20</f>
        <v>5</v>
      </c>
      <c r="I20" s="208">
        <f>SUM(H20:H22)</f>
        <v>25</v>
      </c>
      <c r="J20" s="208">
        <f>SUM(F20:F22)</f>
        <v>102.3</v>
      </c>
      <c r="K20" s="233">
        <v>5</v>
      </c>
    </row>
    <row r="21" spans="1:11" ht="12.75">
      <c r="A21" s="206"/>
      <c r="B21" s="209"/>
      <c r="C21" s="25" t="s">
        <v>70</v>
      </c>
      <c r="D21" s="25" t="s">
        <v>71</v>
      </c>
      <c r="E21" s="25">
        <v>5</v>
      </c>
      <c r="F21" s="25">
        <v>30.8</v>
      </c>
      <c r="G21" s="25">
        <v>0</v>
      </c>
      <c r="H21" s="25">
        <f t="shared" si="1"/>
        <v>5</v>
      </c>
      <c r="I21" s="209"/>
      <c r="J21" s="209"/>
      <c r="K21" s="234"/>
    </row>
    <row r="22" spans="1:11" ht="13.5" thickBot="1">
      <c r="A22" s="207"/>
      <c r="B22" s="210"/>
      <c r="C22" s="26" t="s">
        <v>56</v>
      </c>
      <c r="D22" s="26" t="s">
        <v>57</v>
      </c>
      <c r="E22" s="26">
        <v>15</v>
      </c>
      <c r="F22" s="26">
        <v>33.5</v>
      </c>
      <c r="G22" s="26">
        <v>0</v>
      </c>
      <c r="H22" s="26">
        <f t="shared" si="1"/>
        <v>15</v>
      </c>
      <c r="I22" s="210"/>
      <c r="J22" s="210"/>
      <c r="K22" s="235"/>
    </row>
    <row r="23" spans="1:11" ht="12.75">
      <c r="A23" s="206">
        <v>13</v>
      </c>
      <c r="B23" s="209" t="s">
        <v>166</v>
      </c>
      <c r="C23" s="25" t="s">
        <v>73</v>
      </c>
      <c r="D23" s="25" t="s">
        <v>74</v>
      </c>
      <c r="E23" s="27">
        <v>10</v>
      </c>
      <c r="F23" s="27">
        <v>37.4</v>
      </c>
      <c r="G23" s="27">
        <v>0</v>
      </c>
      <c r="H23" s="27">
        <f t="shared" si="1"/>
        <v>10</v>
      </c>
      <c r="I23" s="208">
        <f>SUM(H23:H25)</f>
        <v>58.699999999999996</v>
      </c>
      <c r="J23" s="208">
        <f>SUM(F23:F25)</f>
        <v>148.1</v>
      </c>
      <c r="K23" s="233">
        <v>6</v>
      </c>
    </row>
    <row r="24" spans="1:11" ht="12.75">
      <c r="A24" s="206"/>
      <c r="B24" s="209"/>
      <c r="C24" s="25" t="s">
        <v>73</v>
      </c>
      <c r="D24" s="25" t="s">
        <v>75</v>
      </c>
      <c r="E24" s="25">
        <v>15</v>
      </c>
      <c r="F24" s="25">
        <v>59.3</v>
      </c>
      <c r="G24" s="25">
        <f>F24-41</f>
        <v>18.299999999999997</v>
      </c>
      <c r="H24" s="25">
        <f t="shared" si="1"/>
        <v>33.3</v>
      </c>
      <c r="I24" s="209"/>
      <c r="J24" s="209"/>
      <c r="K24" s="234"/>
    </row>
    <row r="25" spans="1:11" ht="13.5" thickBot="1">
      <c r="A25" s="207"/>
      <c r="B25" s="210"/>
      <c r="C25" s="26" t="s">
        <v>161</v>
      </c>
      <c r="D25" s="26" t="s">
        <v>165</v>
      </c>
      <c r="E25" s="26">
        <v>5</v>
      </c>
      <c r="F25" s="26">
        <v>51.4</v>
      </c>
      <c r="G25" s="26">
        <f>F25-41</f>
        <v>10.399999999999999</v>
      </c>
      <c r="H25" s="26">
        <f t="shared" si="1"/>
        <v>15.399999999999999</v>
      </c>
      <c r="I25" s="210"/>
      <c r="J25" s="210"/>
      <c r="K25" s="235"/>
    </row>
    <row r="26" spans="1:11" ht="12.75">
      <c r="A26" s="215">
        <v>11</v>
      </c>
      <c r="B26" s="218" t="s">
        <v>179</v>
      </c>
      <c r="C26" s="27" t="s">
        <v>133</v>
      </c>
      <c r="D26" s="27" t="s">
        <v>24</v>
      </c>
      <c r="E26" s="27">
        <v>0</v>
      </c>
      <c r="F26" s="27">
        <v>38.8</v>
      </c>
      <c r="G26" s="27">
        <v>0</v>
      </c>
      <c r="H26" s="27">
        <f t="shared" si="1"/>
        <v>0</v>
      </c>
      <c r="I26" s="208">
        <f>SUM(H26:H28)</f>
        <v>120</v>
      </c>
      <c r="J26" s="208">
        <f>SUM(F26:F28)</f>
        <v>78.6</v>
      </c>
      <c r="K26" s="233">
        <v>7</v>
      </c>
    </row>
    <row r="27" spans="1:11" ht="12.75">
      <c r="A27" s="216"/>
      <c r="B27" s="219"/>
      <c r="C27" s="25" t="s">
        <v>28</v>
      </c>
      <c r="D27" s="25" t="s">
        <v>176</v>
      </c>
      <c r="E27" s="25"/>
      <c r="F27" s="80" t="s">
        <v>228</v>
      </c>
      <c r="G27" s="25"/>
      <c r="H27" s="25">
        <v>120</v>
      </c>
      <c r="I27" s="209"/>
      <c r="J27" s="209"/>
      <c r="K27" s="234"/>
    </row>
    <row r="28" spans="1:11" ht="13.5" thickBot="1">
      <c r="A28" s="217"/>
      <c r="B28" s="220"/>
      <c r="C28" s="26" t="s">
        <v>18</v>
      </c>
      <c r="D28" s="26" t="s">
        <v>76</v>
      </c>
      <c r="E28" s="26">
        <v>0</v>
      </c>
      <c r="F28" s="26">
        <v>39.8</v>
      </c>
      <c r="G28" s="26">
        <v>0</v>
      </c>
      <c r="H28" s="26">
        <f>G28+E28</f>
        <v>0</v>
      </c>
      <c r="I28" s="210"/>
      <c r="J28" s="210"/>
      <c r="K28" s="235"/>
    </row>
    <row r="29" spans="1:11" ht="12.75">
      <c r="A29" s="211">
        <v>6</v>
      </c>
      <c r="B29" s="208" t="s">
        <v>106</v>
      </c>
      <c r="C29" s="152" t="s">
        <v>72</v>
      </c>
      <c r="D29" s="152" t="s">
        <v>110</v>
      </c>
      <c r="E29" s="152"/>
      <c r="F29" s="155" t="s">
        <v>228</v>
      </c>
      <c r="G29" s="152"/>
      <c r="H29" s="152">
        <v>120</v>
      </c>
      <c r="I29" s="208">
        <f>SUM(H29:H31)</f>
        <v>140</v>
      </c>
      <c r="J29" s="208">
        <f>SUM(F29:F31)</f>
        <v>71.8</v>
      </c>
      <c r="K29" s="238">
        <v>8</v>
      </c>
    </row>
    <row r="30" spans="1:11" ht="12.75">
      <c r="A30" s="206"/>
      <c r="B30" s="209"/>
      <c r="C30" s="25" t="s">
        <v>66</v>
      </c>
      <c r="D30" s="25" t="s">
        <v>68</v>
      </c>
      <c r="E30" s="25">
        <v>10</v>
      </c>
      <c r="F30" s="25">
        <v>35.9</v>
      </c>
      <c r="G30" s="25">
        <v>0</v>
      </c>
      <c r="H30" s="25">
        <f>G30+E30</f>
        <v>10</v>
      </c>
      <c r="I30" s="209"/>
      <c r="J30" s="209"/>
      <c r="K30" s="234"/>
    </row>
    <row r="31" spans="1:11" ht="13.5" thickBot="1">
      <c r="A31" s="212"/>
      <c r="B31" s="210"/>
      <c r="C31" s="153" t="s">
        <v>66</v>
      </c>
      <c r="D31" s="153" t="s">
        <v>69</v>
      </c>
      <c r="E31" s="153">
        <v>10</v>
      </c>
      <c r="F31" s="153">
        <v>35.9</v>
      </c>
      <c r="G31" s="153">
        <v>0</v>
      </c>
      <c r="H31" s="153">
        <f>G31+E31</f>
        <v>10</v>
      </c>
      <c r="I31" s="210"/>
      <c r="J31" s="210"/>
      <c r="K31" s="239"/>
    </row>
    <row r="32" spans="1:11" ht="12.75">
      <c r="A32" s="205">
        <v>1</v>
      </c>
      <c r="B32" s="208" t="s">
        <v>92</v>
      </c>
      <c r="C32" s="27" t="s">
        <v>81</v>
      </c>
      <c r="D32" s="27" t="s">
        <v>82</v>
      </c>
      <c r="E32" s="27"/>
      <c r="F32" s="86" t="s">
        <v>228</v>
      </c>
      <c r="G32" s="27"/>
      <c r="H32" s="27">
        <v>120</v>
      </c>
      <c r="I32" s="208">
        <f>SUM(H32:H34)</f>
        <v>149.7</v>
      </c>
      <c r="J32" s="208">
        <f>SUM(F32:F34)</f>
        <v>101.7</v>
      </c>
      <c r="K32" s="233">
        <v>9</v>
      </c>
    </row>
    <row r="33" spans="1:11" ht="12.75">
      <c r="A33" s="206"/>
      <c r="B33" s="209"/>
      <c r="C33" s="25" t="s">
        <v>230</v>
      </c>
      <c r="D33" s="25" t="s">
        <v>83</v>
      </c>
      <c r="E33" s="25">
        <v>10</v>
      </c>
      <c r="F33" s="25">
        <v>55.2</v>
      </c>
      <c r="G33" s="25">
        <f>F33-41</f>
        <v>14.200000000000003</v>
      </c>
      <c r="H33" s="25">
        <f>G33+E33</f>
        <v>24.200000000000003</v>
      </c>
      <c r="I33" s="209"/>
      <c r="J33" s="209"/>
      <c r="K33" s="234"/>
    </row>
    <row r="34" spans="1:11" ht="13.5" thickBot="1">
      <c r="A34" s="207"/>
      <c r="B34" s="210"/>
      <c r="C34" s="26" t="s">
        <v>84</v>
      </c>
      <c r="D34" s="26" t="s">
        <v>193</v>
      </c>
      <c r="E34" s="26">
        <v>0</v>
      </c>
      <c r="F34" s="26">
        <v>46.5</v>
      </c>
      <c r="G34" s="26">
        <f>F34-41</f>
        <v>5.5</v>
      </c>
      <c r="H34" s="26">
        <f>G34+E34</f>
        <v>5.5</v>
      </c>
      <c r="I34" s="210"/>
      <c r="J34" s="210"/>
      <c r="K34" s="235"/>
    </row>
    <row r="35" spans="1:11" ht="12.75">
      <c r="A35" s="215">
        <v>12</v>
      </c>
      <c r="B35" s="218" t="s">
        <v>180</v>
      </c>
      <c r="C35" s="27" t="s">
        <v>170</v>
      </c>
      <c r="D35" s="27" t="s">
        <v>175</v>
      </c>
      <c r="E35" s="27">
        <v>0</v>
      </c>
      <c r="F35" s="27">
        <v>51.6</v>
      </c>
      <c r="G35" s="27">
        <f>F35-41</f>
        <v>10.600000000000001</v>
      </c>
      <c r="H35" s="27">
        <f>G35+E35</f>
        <v>10.600000000000001</v>
      </c>
      <c r="I35" s="208">
        <f>SUM(H35:H37)</f>
        <v>157.8</v>
      </c>
      <c r="J35" s="208">
        <f>SUM(F35:F37)</f>
        <v>104.80000000000001</v>
      </c>
      <c r="K35" s="233">
        <v>10</v>
      </c>
    </row>
    <row r="36" spans="1:11" ht="12.75">
      <c r="A36" s="216"/>
      <c r="B36" s="219"/>
      <c r="C36" s="25" t="s">
        <v>28</v>
      </c>
      <c r="D36" s="25" t="s">
        <v>135</v>
      </c>
      <c r="E36" s="25"/>
      <c r="F36" s="80" t="s">
        <v>228</v>
      </c>
      <c r="G36" s="25"/>
      <c r="H36" s="25">
        <v>120</v>
      </c>
      <c r="I36" s="209"/>
      <c r="J36" s="209"/>
      <c r="K36" s="234"/>
    </row>
    <row r="37" spans="1:11" ht="13.5" thickBot="1">
      <c r="A37" s="222"/>
      <c r="B37" s="220"/>
      <c r="C37" s="26" t="s">
        <v>30</v>
      </c>
      <c r="D37" s="26" t="s">
        <v>95</v>
      </c>
      <c r="E37" s="26">
        <v>15</v>
      </c>
      <c r="F37" s="26">
        <v>53.2</v>
      </c>
      <c r="G37" s="26">
        <f>F37-41</f>
        <v>12.200000000000003</v>
      </c>
      <c r="H37" s="26">
        <f>G37+E37</f>
        <v>27.200000000000003</v>
      </c>
      <c r="I37" s="210"/>
      <c r="J37" s="210"/>
      <c r="K37" s="235"/>
    </row>
    <row r="38" spans="1:11" ht="12.75">
      <c r="A38" s="205">
        <v>15</v>
      </c>
      <c r="B38" s="213" t="s">
        <v>220</v>
      </c>
      <c r="C38" s="152" t="s">
        <v>207</v>
      </c>
      <c r="D38" s="152" t="s">
        <v>208</v>
      </c>
      <c r="E38" s="27">
        <v>5</v>
      </c>
      <c r="F38" s="27">
        <v>41.3</v>
      </c>
      <c r="G38" s="27">
        <f>F38-41</f>
        <v>0.29999999999999716</v>
      </c>
      <c r="H38" s="27">
        <f>G38+E38</f>
        <v>5.299999999999997</v>
      </c>
      <c r="I38" s="208">
        <f>SUM(H38:H40)</f>
        <v>158.1</v>
      </c>
      <c r="J38" s="208">
        <f>SUM(F38:F40)</f>
        <v>105.1</v>
      </c>
      <c r="K38" s="233">
        <v>11</v>
      </c>
    </row>
    <row r="39" spans="1:11" ht="12.75">
      <c r="A39" s="206"/>
      <c r="B39" s="209"/>
      <c r="C39" s="25" t="s">
        <v>205</v>
      </c>
      <c r="D39" s="25" t="s">
        <v>206</v>
      </c>
      <c r="E39" s="25"/>
      <c r="F39" s="80" t="s">
        <v>228</v>
      </c>
      <c r="G39" s="25"/>
      <c r="H39" s="25">
        <v>120</v>
      </c>
      <c r="I39" s="209"/>
      <c r="J39" s="209"/>
      <c r="K39" s="234"/>
    </row>
    <row r="40" spans="1:11" ht="13.5" thickBot="1">
      <c r="A40" s="207"/>
      <c r="B40" s="210"/>
      <c r="C40" s="26" t="s">
        <v>200</v>
      </c>
      <c r="D40" s="26" t="s">
        <v>202</v>
      </c>
      <c r="E40" s="26">
        <v>10</v>
      </c>
      <c r="F40" s="26">
        <v>63.8</v>
      </c>
      <c r="G40" s="26">
        <f>F40-41</f>
        <v>22.799999999999997</v>
      </c>
      <c r="H40" s="26">
        <f>G40+E40</f>
        <v>32.8</v>
      </c>
      <c r="I40" s="210"/>
      <c r="J40" s="210"/>
      <c r="K40" s="235"/>
    </row>
    <row r="41" spans="1:11" ht="12.75">
      <c r="A41" s="211">
        <v>4</v>
      </c>
      <c r="B41" s="208" t="s">
        <v>104</v>
      </c>
      <c r="C41" s="152" t="s">
        <v>53</v>
      </c>
      <c r="D41" s="152" t="s">
        <v>54</v>
      </c>
      <c r="E41" s="152"/>
      <c r="F41" s="155" t="s">
        <v>228</v>
      </c>
      <c r="G41" s="152"/>
      <c r="H41" s="152">
        <v>120</v>
      </c>
      <c r="I41" s="208">
        <f>SUM(H41:H43)</f>
        <v>240</v>
      </c>
      <c r="J41" s="208">
        <f>SUM(F41:F43)</f>
        <v>34</v>
      </c>
      <c r="K41" s="238">
        <v>12</v>
      </c>
    </row>
    <row r="42" spans="1:11" ht="12.75">
      <c r="A42" s="206"/>
      <c r="B42" s="209"/>
      <c r="C42" s="25" t="s">
        <v>49</v>
      </c>
      <c r="D42" s="25" t="s">
        <v>50</v>
      </c>
      <c r="E42" s="25"/>
      <c r="F42" s="80" t="s">
        <v>228</v>
      </c>
      <c r="G42" s="25"/>
      <c r="H42" s="25">
        <v>120</v>
      </c>
      <c r="I42" s="209"/>
      <c r="J42" s="209"/>
      <c r="K42" s="234"/>
    </row>
    <row r="43" spans="1:11" ht="13.5" thickBot="1">
      <c r="A43" s="212"/>
      <c r="B43" s="210"/>
      <c r="C43" s="26" t="s">
        <v>53</v>
      </c>
      <c r="D43" s="26" t="s">
        <v>109</v>
      </c>
      <c r="E43" s="26">
        <v>0</v>
      </c>
      <c r="F43" s="156">
        <v>34</v>
      </c>
      <c r="G43" s="26">
        <v>0</v>
      </c>
      <c r="H43" s="26">
        <v>0</v>
      </c>
      <c r="I43" s="210"/>
      <c r="J43" s="210"/>
      <c r="K43" s="239"/>
    </row>
    <row r="44" spans="1:11" ht="12.75">
      <c r="A44" s="211">
        <v>16</v>
      </c>
      <c r="B44" s="213" t="s">
        <v>255</v>
      </c>
      <c r="C44" s="152" t="s">
        <v>158</v>
      </c>
      <c r="D44" s="152" t="s">
        <v>159</v>
      </c>
      <c r="E44" s="152"/>
      <c r="F44" s="155" t="s">
        <v>228</v>
      </c>
      <c r="G44" s="152"/>
      <c r="H44" s="152">
        <v>120</v>
      </c>
      <c r="I44" s="213">
        <f>SUM(H44:H46)</f>
        <v>254.5</v>
      </c>
      <c r="J44" s="213">
        <f>SUM(F44:F46)</f>
        <v>55.5</v>
      </c>
      <c r="K44" s="238">
        <v>13</v>
      </c>
    </row>
    <row r="45" spans="1:11" ht="12.75">
      <c r="A45" s="206"/>
      <c r="B45" s="209"/>
      <c r="C45" s="25" t="s">
        <v>151</v>
      </c>
      <c r="D45" s="25" t="s">
        <v>157</v>
      </c>
      <c r="E45" s="25">
        <v>0</v>
      </c>
      <c r="F45" s="25">
        <v>55.5</v>
      </c>
      <c r="G45" s="25">
        <f>F45-41</f>
        <v>14.5</v>
      </c>
      <c r="H45" s="25">
        <f>G45+E45</f>
        <v>14.5</v>
      </c>
      <c r="I45" s="209"/>
      <c r="J45" s="209"/>
      <c r="K45" s="234"/>
    </row>
    <row r="46" spans="1:11" ht="13.5" thickBot="1">
      <c r="A46" s="212"/>
      <c r="B46" s="210"/>
      <c r="C46" s="26" t="s">
        <v>155</v>
      </c>
      <c r="D46" s="26" t="s">
        <v>156</v>
      </c>
      <c r="E46" s="153"/>
      <c r="F46" s="157" t="s">
        <v>228</v>
      </c>
      <c r="G46" s="153"/>
      <c r="H46" s="153">
        <v>120</v>
      </c>
      <c r="I46" s="214"/>
      <c r="J46" s="214"/>
      <c r="K46" s="239"/>
    </row>
    <row r="47" spans="1:11" ht="12.75">
      <c r="A47" s="211">
        <v>14</v>
      </c>
      <c r="B47" s="209" t="s">
        <v>219</v>
      </c>
      <c r="C47" s="152" t="s">
        <v>196</v>
      </c>
      <c r="D47" s="152" t="s">
        <v>197</v>
      </c>
      <c r="E47" s="27">
        <v>20</v>
      </c>
      <c r="F47" s="27">
        <v>39.5</v>
      </c>
      <c r="G47" s="27">
        <v>0</v>
      </c>
      <c r="H47" s="27">
        <f>G47+E47</f>
        <v>20</v>
      </c>
      <c r="I47" s="208">
        <f>SUM(H47:H49)</f>
        <v>260</v>
      </c>
      <c r="J47" s="208">
        <f>SUM(F47:F49)</f>
        <v>39.5</v>
      </c>
      <c r="K47" s="233">
        <v>14</v>
      </c>
    </row>
    <row r="48" spans="1:11" ht="12.75">
      <c r="A48" s="206"/>
      <c r="B48" s="209"/>
      <c r="C48" s="25" t="s">
        <v>203</v>
      </c>
      <c r="D48" s="25" t="s">
        <v>204</v>
      </c>
      <c r="E48" s="25"/>
      <c r="F48" s="80" t="s">
        <v>228</v>
      </c>
      <c r="G48" s="25"/>
      <c r="H48" s="25">
        <v>120</v>
      </c>
      <c r="I48" s="209"/>
      <c r="J48" s="209"/>
      <c r="K48" s="234"/>
    </row>
    <row r="49" spans="1:11" ht="13.5" thickBot="1">
      <c r="A49" s="207"/>
      <c r="B49" s="210"/>
      <c r="C49" s="26" t="s">
        <v>198</v>
      </c>
      <c r="D49" s="26" t="s">
        <v>199</v>
      </c>
      <c r="E49" s="26"/>
      <c r="F49" s="106" t="s">
        <v>228</v>
      </c>
      <c r="G49" s="26"/>
      <c r="H49" s="26">
        <v>120</v>
      </c>
      <c r="I49" s="210"/>
      <c r="J49" s="210"/>
      <c r="K49" s="235"/>
    </row>
    <row r="50" spans="1:11" ht="12.75">
      <c r="A50" s="205">
        <v>7</v>
      </c>
      <c r="B50" s="208" t="s">
        <v>107</v>
      </c>
      <c r="C50" s="27" t="s">
        <v>46</v>
      </c>
      <c r="D50" s="27" t="s">
        <v>48</v>
      </c>
      <c r="E50" s="27"/>
      <c r="F50" s="86" t="s">
        <v>228</v>
      </c>
      <c r="G50" s="27"/>
      <c r="H50" s="27">
        <v>120</v>
      </c>
      <c r="I50" s="208">
        <f>SUM(H50:H52)</f>
        <v>360</v>
      </c>
      <c r="J50" s="208">
        <f>SUM(F50:F52)</f>
        <v>0</v>
      </c>
      <c r="K50" s="233" t="s">
        <v>256</v>
      </c>
    </row>
    <row r="51" spans="1:11" ht="12.75">
      <c r="A51" s="206"/>
      <c r="B51" s="209"/>
      <c r="C51" s="25" t="s">
        <v>56</v>
      </c>
      <c r="D51" s="25" t="s">
        <v>111</v>
      </c>
      <c r="E51" s="25"/>
      <c r="F51" s="80" t="s">
        <v>228</v>
      </c>
      <c r="G51" s="25"/>
      <c r="H51" s="25">
        <v>120</v>
      </c>
      <c r="I51" s="209"/>
      <c r="J51" s="209"/>
      <c r="K51" s="234"/>
    </row>
    <row r="52" spans="1:11" ht="13.5" thickBot="1">
      <c r="A52" s="207"/>
      <c r="B52" s="210"/>
      <c r="C52" s="26" t="s">
        <v>112</v>
      </c>
      <c r="D52" s="26" t="s">
        <v>113</v>
      </c>
      <c r="E52" s="26"/>
      <c r="F52" s="106" t="s">
        <v>228</v>
      </c>
      <c r="G52" s="26"/>
      <c r="H52" s="26">
        <v>120</v>
      </c>
      <c r="I52" s="210"/>
      <c r="J52" s="210"/>
      <c r="K52" s="235"/>
    </row>
    <row r="53" spans="1:11" ht="12.75">
      <c r="A53" s="211">
        <v>8</v>
      </c>
      <c r="B53" s="208" t="s">
        <v>108</v>
      </c>
      <c r="C53" s="23" t="s">
        <v>51</v>
      </c>
      <c r="D53" s="23" t="s">
        <v>52</v>
      </c>
      <c r="E53" s="23"/>
      <c r="F53" s="61" t="s">
        <v>237</v>
      </c>
      <c r="G53" s="23"/>
      <c r="H53" s="23">
        <v>120</v>
      </c>
      <c r="I53" s="208">
        <f>SUM(H53:H55)</f>
        <v>360</v>
      </c>
      <c r="J53" s="208">
        <f>SUM(F53:F55)</f>
        <v>0</v>
      </c>
      <c r="K53" s="238" t="s">
        <v>256</v>
      </c>
    </row>
    <row r="54" spans="1:11" ht="12.75">
      <c r="A54" s="206"/>
      <c r="B54" s="209"/>
      <c r="C54" s="12" t="s">
        <v>53</v>
      </c>
      <c r="D54" s="12" t="s">
        <v>114</v>
      </c>
      <c r="E54" s="12"/>
      <c r="F54" s="60" t="s">
        <v>228</v>
      </c>
      <c r="G54" s="12"/>
      <c r="H54" s="12">
        <v>120</v>
      </c>
      <c r="I54" s="209"/>
      <c r="J54" s="209"/>
      <c r="K54" s="234"/>
    </row>
    <row r="55" spans="1:11" ht="13.5" thickBot="1">
      <c r="A55" s="212"/>
      <c r="B55" s="210"/>
      <c r="C55" s="24" t="s">
        <v>53</v>
      </c>
      <c r="D55" s="24" t="s">
        <v>115</v>
      </c>
      <c r="E55" s="24"/>
      <c r="F55" s="62" t="s">
        <v>228</v>
      </c>
      <c r="G55" s="24"/>
      <c r="H55" s="24">
        <v>120</v>
      </c>
      <c r="I55" s="210"/>
      <c r="J55" s="210"/>
      <c r="K55" s="239"/>
    </row>
    <row r="56" spans="1:11" ht="12.75">
      <c r="A56" s="226"/>
      <c r="B56" s="226"/>
      <c r="C56" s="142"/>
      <c r="D56" s="142"/>
      <c r="E56" s="142"/>
      <c r="F56" s="142"/>
      <c r="G56" s="142"/>
      <c r="H56" s="142"/>
      <c r="I56" s="237"/>
      <c r="J56" s="237"/>
      <c r="K56" s="237"/>
    </row>
    <row r="57" spans="1:11" ht="12.75">
      <c r="A57" s="225"/>
      <c r="B57" s="225"/>
      <c r="C57" s="55"/>
      <c r="D57" s="55"/>
      <c r="E57" s="55"/>
      <c r="F57" s="55"/>
      <c r="G57" s="55"/>
      <c r="H57" s="55"/>
      <c r="I57" s="236"/>
      <c r="J57" s="236"/>
      <c r="K57" s="236"/>
    </row>
    <row r="58" spans="1:11" ht="12.75">
      <c r="A58" s="225"/>
      <c r="B58" s="225"/>
      <c r="C58" s="55"/>
      <c r="D58" s="55"/>
      <c r="E58" s="55"/>
      <c r="F58" s="55"/>
      <c r="G58" s="55"/>
      <c r="H58" s="55"/>
      <c r="I58" s="236"/>
      <c r="J58" s="236"/>
      <c r="K58" s="236"/>
    </row>
    <row r="59" spans="1:11" ht="12.75">
      <c r="A59" s="225"/>
      <c r="B59" s="225"/>
      <c r="C59" s="55"/>
      <c r="D59" s="55"/>
      <c r="E59" s="55"/>
      <c r="F59" s="55"/>
      <c r="G59" s="55"/>
      <c r="H59" s="55"/>
      <c r="I59" s="236"/>
      <c r="J59" s="236"/>
      <c r="K59" s="236"/>
    </row>
    <row r="60" spans="1:11" ht="12.75">
      <c r="A60" s="225"/>
      <c r="B60" s="225"/>
      <c r="C60" s="55"/>
      <c r="D60" s="55"/>
      <c r="E60" s="55"/>
      <c r="F60" s="55"/>
      <c r="G60" s="55"/>
      <c r="H60" s="55"/>
      <c r="I60" s="236"/>
      <c r="J60" s="236"/>
      <c r="K60" s="236"/>
    </row>
    <row r="61" spans="1:11" ht="12.75">
      <c r="A61" s="225"/>
      <c r="B61" s="225"/>
      <c r="C61" s="55"/>
      <c r="D61" s="55"/>
      <c r="E61" s="55"/>
      <c r="F61" s="55"/>
      <c r="G61" s="55"/>
      <c r="H61" s="55"/>
      <c r="I61" s="236"/>
      <c r="J61" s="236"/>
      <c r="K61" s="236"/>
    </row>
    <row r="62" spans="1:11" ht="12.75">
      <c r="A62" s="225"/>
      <c r="B62" s="225"/>
      <c r="C62" s="55"/>
      <c r="D62" s="55"/>
      <c r="E62" s="55"/>
      <c r="F62" s="55"/>
      <c r="G62" s="55"/>
      <c r="H62" s="55"/>
      <c r="I62" s="236"/>
      <c r="J62" s="236"/>
      <c r="K62" s="236"/>
    </row>
    <row r="63" spans="1:11" ht="12.75">
      <c r="A63" s="225"/>
      <c r="B63" s="225"/>
      <c r="C63" s="55"/>
      <c r="D63" s="55"/>
      <c r="E63" s="55"/>
      <c r="F63" s="55"/>
      <c r="G63" s="55"/>
      <c r="H63" s="55"/>
      <c r="I63" s="236"/>
      <c r="J63" s="236"/>
      <c r="K63" s="236"/>
    </row>
    <row r="64" spans="1:11" ht="12.75">
      <c r="A64" s="225"/>
      <c r="B64" s="225"/>
      <c r="C64" s="55"/>
      <c r="D64" s="55"/>
      <c r="E64" s="55"/>
      <c r="F64" s="55"/>
      <c r="G64" s="55"/>
      <c r="H64" s="55"/>
      <c r="I64" s="236"/>
      <c r="J64" s="236"/>
      <c r="K64" s="236"/>
    </row>
    <row r="65" spans="1:11" ht="12.75">
      <c r="A65" s="225"/>
      <c r="B65" s="225"/>
      <c r="C65" s="55"/>
      <c r="D65" s="55"/>
      <c r="E65" s="55"/>
      <c r="F65" s="55"/>
      <c r="G65" s="55"/>
      <c r="H65" s="55"/>
      <c r="I65" s="236"/>
      <c r="J65" s="236"/>
      <c r="K65" s="236"/>
    </row>
    <row r="66" spans="1:11" ht="12.75">
      <c r="A66" s="225"/>
      <c r="B66" s="225"/>
      <c r="C66" s="55"/>
      <c r="D66" s="55"/>
      <c r="E66" s="55"/>
      <c r="F66" s="55"/>
      <c r="G66" s="55"/>
      <c r="H66" s="55"/>
      <c r="I66" s="236"/>
      <c r="J66" s="236"/>
      <c r="K66" s="236"/>
    </row>
    <row r="67" spans="1:11" ht="12.75">
      <c r="A67" s="225"/>
      <c r="B67" s="225"/>
      <c r="C67" s="55"/>
      <c r="D67" s="55"/>
      <c r="E67" s="55"/>
      <c r="F67" s="55"/>
      <c r="G67" s="55"/>
      <c r="H67" s="55"/>
      <c r="I67" s="236"/>
      <c r="J67" s="236"/>
      <c r="K67" s="236"/>
    </row>
    <row r="68" spans="1:11" ht="12.75">
      <c r="A68" s="225"/>
      <c r="B68" s="225"/>
      <c r="C68" s="55"/>
      <c r="D68" s="55"/>
      <c r="E68" s="55"/>
      <c r="F68" s="55"/>
      <c r="G68" s="55"/>
      <c r="H68" s="55"/>
      <c r="I68" s="236"/>
      <c r="J68" s="236"/>
      <c r="K68" s="236"/>
    </row>
    <row r="69" spans="1:11" ht="12.75">
      <c r="A69" s="225"/>
      <c r="B69" s="225"/>
      <c r="C69" s="55"/>
      <c r="D69" s="55"/>
      <c r="E69" s="55"/>
      <c r="F69" s="55"/>
      <c r="G69" s="55"/>
      <c r="H69" s="55"/>
      <c r="I69" s="236"/>
      <c r="J69" s="236"/>
      <c r="K69" s="236"/>
    </row>
    <row r="70" spans="1:11" ht="12.75">
      <c r="A70" s="225"/>
      <c r="B70" s="225"/>
      <c r="C70" s="55"/>
      <c r="D70" s="55"/>
      <c r="E70" s="55"/>
      <c r="F70" s="55"/>
      <c r="G70" s="55"/>
      <c r="H70" s="55"/>
      <c r="I70" s="236"/>
      <c r="J70" s="236"/>
      <c r="K70" s="236"/>
    </row>
    <row r="71" spans="1:11" ht="12.75">
      <c r="A71" s="225"/>
      <c r="B71" s="225"/>
      <c r="C71" s="55"/>
      <c r="D71" s="55"/>
      <c r="E71" s="55"/>
      <c r="F71" s="55"/>
      <c r="G71" s="55"/>
      <c r="H71" s="55"/>
      <c r="I71" s="236"/>
      <c r="J71" s="236"/>
      <c r="K71" s="236"/>
    </row>
    <row r="72" spans="1:11" ht="12.75">
      <c r="A72" s="225"/>
      <c r="B72" s="225"/>
      <c r="C72" s="55"/>
      <c r="D72" s="55"/>
      <c r="E72" s="55"/>
      <c r="F72" s="55"/>
      <c r="G72" s="55"/>
      <c r="H72" s="55"/>
      <c r="I72" s="236"/>
      <c r="J72" s="236"/>
      <c r="K72" s="236"/>
    </row>
    <row r="73" spans="1:11" ht="12.75">
      <c r="A73" s="225"/>
      <c r="B73" s="225"/>
      <c r="C73" s="55"/>
      <c r="D73" s="55"/>
      <c r="E73" s="55"/>
      <c r="F73" s="55"/>
      <c r="G73" s="55"/>
      <c r="H73" s="55"/>
      <c r="I73" s="236"/>
      <c r="J73" s="236"/>
      <c r="K73" s="236"/>
    </row>
    <row r="74" spans="1:11" ht="12.75">
      <c r="A74" s="225"/>
      <c r="B74" s="225"/>
      <c r="C74" s="55"/>
      <c r="D74" s="55"/>
      <c r="E74" s="55"/>
      <c r="F74" s="55"/>
      <c r="G74" s="55"/>
      <c r="H74" s="55"/>
      <c r="I74" s="236"/>
      <c r="J74" s="236"/>
      <c r="K74" s="236"/>
    </row>
    <row r="75" spans="1:11" ht="12.75">
      <c r="A75" s="225"/>
      <c r="B75" s="225"/>
      <c r="C75" s="55"/>
      <c r="D75" s="55"/>
      <c r="E75" s="55"/>
      <c r="F75" s="55"/>
      <c r="G75" s="55"/>
      <c r="H75" s="55"/>
      <c r="I75" s="236"/>
      <c r="J75" s="236"/>
      <c r="K75" s="236"/>
    </row>
    <row r="76" spans="1:11" ht="12.75">
      <c r="A76" s="225"/>
      <c r="B76" s="225"/>
      <c r="C76" s="55"/>
      <c r="D76" s="55"/>
      <c r="E76" s="55"/>
      <c r="F76" s="55"/>
      <c r="G76" s="55"/>
      <c r="H76" s="55"/>
      <c r="I76" s="236"/>
      <c r="J76" s="236"/>
      <c r="K76" s="236"/>
    </row>
    <row r="77" spans="1:11" ht="12.75">
      <c r="A77" s="225"/>
      <c r="B77" s="225"/>
      <c r="C77" s="55"/>
      <c r="D77" s="55"/>
      <c r="E77" s="55"/>
      <c r="F77" s="55"/>
      <c r="G77" s="55"/>
      <c r="H77" s="55"/>
      <c r="I77" s="236"/>
      <c r="J77" s="236"/>
      <c r="K77" s="236"/>
    </row>
    <row r="78" spans="1:11" ht="12.75">
      <c r="A78" s="225"/>
      <c r="B78" s="225"/>
      <c r="C78" s="55"/>
      <c r="D78" s="55"/>
      <c r="E78" s="55"/>
      <c r="F78" s="55"/>
      <c r="G78" s="55"/>
      <c r="H78" s="55"/>
      <c r="I78" s="236"/>
      <c r="J78" s="236"/>
      <c r="K78" s="236"/>
    </row>
    <row r="79" spans="1:11" ht="12.75">
      <c r="A79" s="225"/>
      <c r="B79" s="225"/>
      <c r="C79" s="55"/>
      <c r="D79" s="55"/>
      <c r="E79" s="55"/>
      <c r="F79" s="55"/>
      <c r="G79" s="55"/>
      <c r="H79" s="55"/>
      <c r="I79" s="236"/>
      <c r="J79" s="236"/>
      <c r="K79" s="236"/>
    </row>
    <row r="80" spans="1:11" ht="12.75">
      <c r="A80" s="225"/>
      <c r="B80" s="225"/>
      <c r="C80" s="55"/>
      <c r="D80" s="55"/>
      <c r="E80" s="55"/>
      <c r="F80" s="55"/>
      <c r="G80" s="55"/>
      <c r="H80" s="55"/>
      <c r="I80" s="236"/>
      <c r="J80" s="236"/>
      <c r="K80" s="236"/>
    </row>
    <row r="81" spans="1:11" ht="12.75">
      <c r="A81" s="225"/>
      <c r="B81" s="225"/>
      <c r="C81" s="55"/>
      <c r="D81" s="55"/>
      <c r="E81" s="55"/>
      <c r="F81" s="55"/>
      <c r="G81" s="55"/>
      <c r="H81" s="55"/>
      <c r="I81" s="236"/>
      <c r="J81" s="236"/>
      <c r="K81" s="236"/>
    </row>
    <row r="82" spans="1:11" ht="12.75">
      <c r="A82" s="225"/>
      <c r="B82" s="225"/>
      <c r="C82" s="55"/>
      <c r="D82" s="55"/>
      <c r="E82" s="55"/>
      <c r="F82" s="55"/>
      <c r="G82" s="55"/>
      <c r="H82" s="55"/>
      <c r="I82" s="236"/>
      <c r="J82" s="236"/>
      <c r="K82" s="236"/>
    </row>
  </sheetData>
  <mergeCells count="135">
    <mergeCell ref="K74:K76"/>
    <mergeCell ref="J77:J79"/>
    <mergeCell ref="K77:K79"/>
    <mergeCell ref="J80:J82"/>
    <mergeCell ref="K80:K82"/>
    <mergeCell ref="K65:K67"/>
    <mergeCell ref="J68:J70"/>
    <mergeCell ref="K68:K70"/>
    <mergeCell ref="J71:J73"/>
    <mergeCell ref="K71:K73"/>
    <mergeCell ref="K56:K58"/>
    <mergeCell ref="J59:J61"/>
    <mergeCell ref="K59:K61"/>
    <mergeCell ref="K62:K64"/>
    <mergeCell ref="J62:J64"/>
    <mergeCell ref="J56:J58"/>
    <mergeCell ref="K47:K49"/>
    <mergeCell ref="J38:J40"/>
    <mergeCell ref="K38:K40"/>
    <mergeCell ref="K44:K46"/>
    <mergeCell ref="J44:J46"/>
    <mergeCell ref="J47:J49"/>
    <mergeCell ref="K41:K43"/>
    <mergeCell ref="K50:K52"/>
    <mergeCell ref="J20:J22"/>
    <mergeCell ref="K53:K55"/>
    <mergeCell ref="J11:J13"/>
    <mergeCell ref="K11:K13"/>
    <mergeCell ref="K14:K16"/>
    <mergeCell ref="J53:J55"/>
    <mergeCell ref="K26:K28"/>
    <mergeCell ref="J35:J37"/>
    <mergeCell ref="K35:K37"/>
    <mergeCell ref="J8:J10"/>
    <mergeCell ref="K20:K22"/>
    <mergeCell ref="J29:J31"/>
    <mergeCell ref="K29:K31"/>
    <mergeCell ref="K23:K25"/>
    <mergeCell ref="J23:J25"/>
    <mergeCell ref="J26:J28"/>
    <mergeCell ref="J14:J16"/>
    <mergeCell ref="K8:K10"/>
    <mergeCell ref="J17:J19"/>
    <mergeCell ref="K17:K19"/>
    <mergeCell ref="I77:I79"/>
    <mergeCell ref="I80:I82"/>
    <mergeCell ref="J32:J34"/>
    <mergeCell ref="J41:J43"/>
    <mergeCell ref="J50:J52"/>
    <mergeCell ref="J65:J67"/>
    <mergeCell ref="J74:J76"/>
    <mergeCell ref="I65:I67"/>
    <mergeCell ref="I68:I70"/>
    <mergeCell ref="I71:I73"/>
    <mergeCell ref="I74:I76"/>
    <mergeCell ref="I44:I46"/>
    <mergeCell ref="I56:I58"/>
    <mergeCell ref="I59:I61"/>
    <mergeCell ref="I62:I64"/>
    <mergeCell ref="A80:A82"/>
    <mergeCell ref="B80:B82"/>
    <mergeCell ref="A77:A79"/>
    <mergeCell ref="B77:B79"/>
    <mergeCell ref="A74:A76"/>
    <mergeCell ref="B74:B76"/>
    <mergeCell ref="A71:A73"/>
    <mergeCell ref="B71:B73"/>
    <mergeCell ref="I8:I10"/>
    <mergeCell ref="I17:I19"/>
    <mergeCell ref="I41:I43"/>
    <mergeCell ref="I20:I22"/>
    <mergeCell ref="I29:I31"/>
    <mergeCell ref="I11:I13"/>
    <mergeCell ref="I14:I16"/>
    <mergeCell ref="I26:I28"/>
    <mergeCell ref="I35:I37"/>
    <mergeCell ref="I23:I25"/>
    <mergeCell ref="I32:I34"/>
    <mergeCell ref="K32:K34"/>
    <mergeCell ref="A68:A70"/>
    <mergeCell ref="B68:B70"/>
    <mergeCell ref="A65:A67"/>
    <mergeCell ref="B65:B67"/>
    <mergeCell ref="I50:I52"/>
    <mergeCell ref="I53:I55"/>
    <mergeCell ref="I47:I49"/>
    <mergeCell ref="I38:I40"/>
    <mergeCell ref="B6:B7"/>
    <mergeCell ref="B32:B34"/>
    <mergeCell ref="E6:H6"/>
    <mergeCell ref="C6:C7"/>
    <mergeCell ref="D6:D7"/>
    <mergeCell ref="E1:G1"/>
    <mergeCell ref="I6:I7"/>
    <mergeCell ref="J6:J7"/>
    <mergeCell ref="K6:K7"/>
    <mergeCell ref="A3:D4"/>
    <mergeCell ref="A1:D1"/>
    <mergeCell ref="A62:A64"/>
    <mergeCell ref="B62:B64"/>
    <mergeCell ref="A59:A61"/>
    <mergeCell ref="B59:B61"/>
    <mergeCell ref="A56:A58"/>
    <mergeCell ref="B56:B58"/>
    <mergeCell ref="A44:A46"/>
    <mergeCell ref="B44:B46"/>
    <mergeCell ref="A53:A55"/>
    <mergeCell ref="B53:B55"/>
    <mergeCell ref="A26:A28"/>
    <mergeCell ref="B26:B28"/>
    <mergeCell ref="A35:A37"/>
    <mergeCell ref="B35:B37"/>
    <mergeCell ref="A38:A40"/>
    <mergeCell ref="B38:B40"/>
    <mergeCell ref="A47:A49"/>
    <mergeCell ref="B47:B49"/>
    <mergeCell ref="A50:A52"/>
    <mergeCell ref="B50:B52"/>
    <mergeCell ref="A29:A31"/>
    <mergeCell ref="B29:B31"/>
    <mergeCell ref="A32:A34"/>
    <mergeCell ref="A20:A22"/>
    <mergeCell ref="B20:B22"/>
    <mergeCell ref="A41:A43"/>
    <mergeCell ref="B41:B43"/>
    <mergeCell ref="A23:A25"/>
    <mergeCell ref="B23:B25"/>
    <mergeCell ref="A17:A19"/>
    <mergeCell ref="B17:B19"/>
    <mergeCell ref="A8:A10"/>
    <mergeCell ref="B8:B10"/>
    <mergeCell ref="A11:A13"/>
    <mergeCell ref="B11:B13"/>
    <mergeCell ref="A14:A16"/>
    <mergeCell ref="B14:B16"/>
  </mergeCells>
  <printOptions/>
  <pageMargins left="0.3937007874015748" right="0.3937007874015748" top="0.3937007874015748" bottom="0.3937007874015748" header="0" footer="0"/>
  <pageSetup horizontalDpi="600" verticalDpi="600" orientation="portrait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82"/>
  <sheetViews>
    <sheetView tabSelected="1" zoomScale="75" zoomScaleNormal="75" zoomScaleSheetLayoutView="100" workbookViewId="0" topLeftCell="A1">
      <selection activeCell="J17" sqref="J17:J19"/>
    </sheetView>
  </sheetViews>
  <sheetFormatPr defaultColWidth="9.00390625" defaultRowHeight="12.75"/>
  <cols>
    <col min="1" max="1" width="3.375" style="0" customWidth="1"/>
    <col min="2" max="2" width="16.125" style="0" customWidth="1"/>
    <col min="3" max="3" width="23.75390625" style="0" customWidth="1"/>
    <col min="4" max="4" width="17.75390625" style="0" customWidth="1"/>
    <col min="5" max="6" width="10.75390625" style="0" customWidth="1"/>
    <col min="7" max="7" width="9.75390625" style="0" customWidth="1"/>
    <col min="8" max="8" width="10.75390625" style="0" customWidth="1"/>
    <col min="9" max="10" width="9.75390625" style="0" customWidth="1"/>
    <col min="11" max="11" width="8.875" style="0" customWidth="1"/>
  </cols>
  <sheetData>
    <row r="1" spans="1:9" ht="15" customHeight="1">
      <c r="A1" s="181" t="s">
        <v>94</v>
      </c>
      <c r="B1" s="181"/>
      <c r="C1" s="181"/>
      <c r="D1" s="181"/>
      <c r="E1" s="227" t="s">
        <v>258</v>
      </c>
      <c r="F1" s="227"/>
      <c r="G1" s="227"/>
      <c r="H1" s="2" t="s">
        <v>90</v>
      </c>
      <c r="I1" s="125" t="s">
        <v>257</v>
      </c>
    </row>
    <row r="2" spans="1:4" ht="7.5" customHeight="1" thickBot="1">
      <c r="A2" s="1"/>
      <c r="B2" s="1"/>
      <c r="C2" s="1"/>
      <c r="D2" s="1"/>
    </row>
    <row r="3" spans="1:8" ht="12.75">
      <c r="A3" s="188" t="s">
        <v>93</v>
      </c>
      <c r="B3" s="188"/>
      <c r="C3" s="188"/>
      <c r="D3" s="188"/>
      <c r="E3" s="18" t="s">
        <v>145</v>
      </c>
      <c r="F3" s="34" t="s">
        <v>224</v>
      </c>
      <c r="G3" s="19" t="s">
        <v>85</v>
      </c>
      <c r="H3" s="10">
        <v>41</v>
      </c>
    </row>
    <row r="4" spans="1:8" ht="13.5" thickBot="1">
      <c r="A4" s="188"/>
      <c r="B4" s="188"/>
      <c r="C4" s="188"/>
      <c r="D4" s="188"/>
      <c r="E4" s="21" t="s">
        <v>146</v>
      </c>
      <c r="F4" s="35" t="s">
        <v>225</v>
      </c>
      <c r="G4" s="22" t="s">
        <v>86</v>
      </c>
      <c r="H4" s="16">
        <v>82</v>
      </c>
    </row>
    <row r="5" ht="13.5" thickBot="1"/>
    <row r="6" spans="1:11" ht="13.5" thickBot="1">
      <c r="A6" s="3" t="s">
        <v>1</v>
      </c>
      <c r="B6" s="186" t="s">
        <v>87</v>
      </c>
      <c r="C6" s="231" t="s">
        <v>2</v>
      </c>
      <c r="D6" s="186" t="s">
        <v>3</v>
      </c>
      <c r="E6" s="176" t="s">
        <v>4</v>
      </c>
      <c r="F6" s="184"/>
      <c r="G6" s="184"/>
      <c r="H6" s="184"/>
      <c r="I6" s="228" t="s">
        <v>88</v>
      </c>
      <c r="J6" s="228" t="s">
        <v>89</v>
      </c>
      <c r="K6" s="191" t="s">
        <v>7</v>
      </c>
    </row>
    <row r="7" spans="1:11" ht="26.25" thickBot="1">
      <c r="A7" s="17" t="s">
        <v>8</v>
      </c>
      <c r="B7" s="173"/>
      <c r="C7" s="232"/>
      <c r="D7" s="173"/>
      <c r="E7" s="4" t="s">
        <v>9</v>
      </c>
      <c r="F7" s="4" t="s">
        <v>10</v>
      </c>
      <c r="G7" s="4" t="s">
        <v>11</v>
      </c>
      <c r="H7" s="4" t="s">
        <v>12</v>
      </c>
      <c r="I7" s="229"/>
      <c r="J7" s="229"/>
      <c r="K7" s="230"/>
    </row>
    <row r="8" spans="1:11" ht="12.75">
      <c r="A8" s="208">
        <v>2</v>
      </c>
      <c r="B8" s="253" t="s">
        <v>117</v>
      </c>
      <c r="C8" s="27" t="s">
        <v>66</v>
      </c>
      <c r="D8" s="27" t="s">
        <v>67</v>
      </c>
      <c r="E8" s="27">
        <v>0</v>
      </c>
      <c r="F8" s="27">
        <v>36.2</v>
      </c>
      <c r="G8" s="27">
        <v>0</v>
      </c>
      <c r="H8" s="158">
        <f>G8+E8</f>
        <v>0</v>
      </c>
      <c r="I8" s="208">
        <f>SUM(H8:H10)</f>
        <v>5</v>
      </c>
      <c r="J8" s="243">
        <f>SUM(F8:F10)</f>
        <v>100.5</v>
      </c>
      <c r="K8" s="208">
        <v>1</v>
      </c>
    </row>
    <row r="9" spans="1:11" ht="12.75">
      <c r="A9" s="209"/>
      <c r="B9" s="254"/>
      <c r="C9" s="25" t="s">
        <v>60</v>
      </c>
      <c r="D9" s="25" t="s">
        <v>63</v>
      </c>
      <c r="E9" s="25">
        <v>0</v>
      </c>
      <c r="F9" s="25">
        <v>32.5</v>
      </c>
      <c r="G9" s="25">
        <v>0</v>
      </c>
      <c r="H9" s="159">
        <f>G9+E9</f>
        <v>0</v>
      </c>
      <c r="I9" s="209"/>
      <c r="J9" s="241"/>
      <c r="K9" s="209"/>
    </row>
    <row r="10" spans="1:11" ht="13.5" thickBot="1">
      <c r="A10" s="210"/>
      <c r="B10" s="255"/>
      <c r="C10" s="26" t="s">
        <v>101</v>
      </c>
      <c r="D10" s="26" t="s">
        <v>121</v>
      </c>
      <c r="E10" s="26">
        <v>5</v>
      </c>
      <c r="F10" s="26">
        <v>31.8</v>
      </c>
      <c r="G10" s="26">
        <v>0</v>
      </c>
      <c r="H10" s="160">
        <f>G10+E10</f>
        <v>5</v>
      </c>
      <c r="I10" s="210"/>
      <c r="J10" s="244"/>
      <c r="K10" s="210"/>
    </row>
    <row r="11" spans="1:11" ht="12.75">
      <c r="A11" s="208">
        <v>4</v>
      </c>
      <c r="B11" s="208" t="s">
        <v>119</v>
      </c>
      <c r="C11" s="27" t="s">
        <v>20</v>
      </c>
      <c r="D11" s="27" t="s">
        <v>62</v>
      </c>
      <c r="E11" s="27">
        <v>5</v>
      </c>
      <c r="F11" s="27">
        <v>40.3</v>
      </c>
      <c r="G11" s="27">
        <v>0</v>
      </c>
      <c r="H11" s="158">
        <f aca="true" t="shared" si="0" ref="H11:H22">G11+E11</f>
        <v>5</v>
      </c>
      <c r="I11" s="208">
        <f>SUM(H11:H13)</f>
        <v>10</v>
      </c>
      <c r="J11" s="243">
        <f>SUM(F11:F13)</f>
        <v>127.3</v>
      </c>
      <c r="K11" s="208">
        <v>2</v>
      </c>
    </row>
    <row r="12" spans="1:11" ht="12.75">
      <c r="A12" s="209"/>
      <c r="B12" s="209"/>
      <c r="C12" s="25" t="s">
        <v>72</v>
      </c>
      <c r="D12" s="25" t="s">
        <v>126</v>
      </c>
      <c r="E12" s="25">
        <v>0</v>
      </c>
      <c r="F12" s="25">
        <v>43.8</v>
      </c>
      <c r="G12" s="25">
        <f>F12-41</f>
        <v>2.799999999999997</v>
      </c>
      <c r="H12" s="159">
        <f t="shared" si="0"/>
        <v>2.799999999999997</v>
      </c>
      <c r="I12" s="209"/>
      <c r="J12" s="241"/>
      <c r="K12" s="209"/>
    </row>
    <row r="13" spans="1:11" ht="13.5" thickBot="1">
      <c r="A13" s="210"/>
      <c r="B13" s="210"/>
      <c r="C13" s="26" t="s">
        <v>58</v>
      </c>
      <c r="D13" s="26" t="s">
        <v>100</v>
      </c>
      <c r="E13" s="26">
        <v>0</v>
      </c>
      <c r="F13" s="26">
        <v>43.2</v>
      </c>
      <c r="G13" s="26">
        <f>F13-41</f>
        <v>2.200000000000003</v>
      </c>
      <c r="H13" s="160">
        <f t="shared" si="0"/>
        <v>2.200000000000003</v>
      </c>
      <c r="I13" s="210"/>
      <c r="J13" s="244"/>
      <c r="K13" s="210"/>
    </row>
    <row r="14" spans="1:11" ht="12.75">
      <c r="A14" s="245">
        <v>1</v>
      </c>
      <c r="B14" s="208" t="s">
        <v>116</v>
      </c>
      <c r="C14" s="27" t="s">
        <v>51</v>
      </c>
      <c r="D14" s="27" t="s">
        <v>99</v>
      </c>
      <c r="E14" s="27">
        <v>5</v>
      </c>
      <c r="F14" s="27">
        <v>35.7</v>
      </c>
      <c r="G14" s="27">
        <v>0</v>
      </c>
      <c r="H14" s="27">
        <f aca="true" t="shared" si="1" ref="H14:H19">G14+E14</f>
        <v>5</v>
      </c>
      <c r="I14" s="208">
        <f>SUM(H14:H16)</f>
        <v>25</v>
      </c>
      <c r="J14" s="208">
        <f>SUM(F14:F16)</f>
        <v>112.2</v>
      </c>
      <c r="K14" s="243">
        <v>3</v>
      </c>
    </row>
    <row r="15" spans="1:11" ht="12.75">
      <c r="A15" s="246"/>
      <c r="B15" s="209"/>
      <c r="C15" s="25" t="s">
        <v>120</v>
      </c>
      <c r="D15" s="25" t="s">
        <v>98</v>
      </c>
      <c r="E15" s="25">
        <v>5</v>
      </c>
      <c r="F15" s="25">
        <v>37.2</v>
      </c>
      <c r="G15" s="25">
        <v>0</v>
      </c>
      <c r="H15" s="25">
        <f t="shared" si="1"/>
        <v>5</v>
      </c>
      <c r="I15" s="209"/>
      <c r="J15" s="209"/>
      <c r="K15" s="241"/>
    </row>
    <row r="16" spans="1:11" ht="13.5" thickBot="1">
      <c r="A16" s="247"/>
      <c r="B16" s="210"/>
      <c r="C16" s="26" t="s">
        <v>56</v>
      </c>
      <c r="D16" s="26" t="s">
        <v>65</v>
      </c>
      <c r="E16" s="26">
        <v>15</v>
      </c>
      <c r="F16" s="26">
        <v>39.3</v>
      </c>
      <c r="G16" s="26">
        <v>0</v>
      </c>
      <c r="H16" s="26">
        <f t="shared" si="1"/>
        <v>15</v>
      </c>
      <c r="I16" s="210"/>
      <c r="J16" s="210"/>
      <c r="K16" s="244"/>
    </row>
    <row r="17" spans="1:11" ht="12.75">
      <c r="A17" s="245">
        <v>11</v>
      </c>
      <c r="B17" s="208" t="s">
        <v>221</v>
      </c>
      <c r="C17" s="27" t="s">
        <v>196</v>
      </c>
      <c r="D17" s="27" t="s">
        <v>213</v>
      </c>
      <c r="E17" s="27">
        <v>5</v>
      </c>
      <c r="F17" s="27">
        <v>37.4</v>
      </c>
      <c r="G17" s="27">
        <v>0</v>
      </c>
      <c r="H17" s="27">
        <f t="shared" si="1"/>
        <v>5</v>
      </c>
      <c r="I17" s="208">
        <f>SUM(H17:H19)</f>
        <v>33.9</v>
      </c>
      <c r="J17" s="208">
        <f>SUM(F17:F19)</f>
        <v>117.4</v>
      </c>
      <c r="K17" s="233">
        <v>4</v>
      </c>
    </row>
    <row r="18" spans="1:11" ht="12.75">
      <c r="A18" s="246"/>
      <c r="B18" s="209"/>
      <c r="C18" s="25" t="s">
        <v>205</v>
      </c>
      <c r="D18" s="25" t="s">
        <v>212</v>
      </c>
      <c r="E18" s="25">
        <v>0</v>
      </c>
      <c r="F18" s="25">
        <v>35.1</v>
      </c>
      <c r="G18" s="25">
        <v>0</v>
      </c>
      <c r="H18" s="25">
        <f t="shared" si="1"/>
        <v>0</v>
      </c>
      <c r="I18" s="209"/>
      <c r="J18" s="209"/>
      <c r="K18" s="234"/>
    </row>
    <row r="19" spans="1:11" ht="13.5" thickBot="1">
      <c r="A19" s="247"/>
      <c r="B19" s="210"/>
      <c r="C19" s="26" t="s">
        <v>196</v>
      </c>
      <c r="D19" s="26" t="s">
        <v>214</v>
      </c>
      <c r="E19" s="26">
        <v>25</v>
      </c>
      <c r="F19" s="26">
        <v>44.9</v>
      </c>
      <c r="G19" s="26">
        <f>F19-41</f>
        <v>3.8999999999999986</v>
      </c>
      <c r="H19" s="26">
        <f t="shared" si="1"/>
        <v>28.9</v>
      </c>
      <c r="I19" s="210"/>
      <c r="J19" s="210"/>
      <c r="K19" s="235"/>
    </row>
    <row r="20" spans="1:11" ht="12.75">
      <c r="A20" s="245">
        <v>5</v>
      </c>
      <c r="B20" s="208" t="s">
        <v>136</v>
      </c>
      <c r="C20" s="27" t="s">
        <v>77</v>
      </c>
      <c r="D20" s="27" t="s">
        <v>78</v>
      </c>
      <c r="E20" s="27">
        <v>10</v>
      </c>
      <c r="F20" s="27">
        <v>41.9</v>
      </c>
      <c r="G20" s="27">
        <f>F20-41</f>
        <v>0.8999999999999986</v>
      </c>
      <c r="H20" s="27">
        <f t="shared" si="0"/>
        <v>10.899999999999999</v>
      </c>
      <c r="I20" s="208">
        <f>SUM(H20:H22)</f>
        <v>39.4</v>
      </c>
      <c r="J20" s="208">
        <f>SUM(F20:F22)</f>
        <v>137.4</v>
      </c>
      <c r="K20" s="233">
        <v>5</v>
      </c>
    </row>
    <row r="21" spans="1:11" ht="12.75">
      <c r="A21" s="246"/>
      <c r="B21" s="209"/>
      <c r="C21" s="25" t="s">
        <v>79</v>
      </c>
      <c r="D21" s="25" t="s">
        <v>80</v>
      </c>
      <c r="E21" s="25">
        <v>10</v>
      </c>
      <c r="F21" s="78">
        <v>48</v>
      </c>
      <c r="G21" s="78">
        <f>F21-41</f>
        <v>7</v>
      </c>
      <c r="H21" s="78">
        <f t="shared" si="0"/>
        <v>17</v>
      </c>
      <c r="I21" s="209"/>
      <c r="J21" s="209"/>
      <c r="K21" s="234"/>
    </row>
    <row r="22" spans="1:11" ht="13.5" thickBot="1">
      <c r="A22" s="247"/>
      <c r="B22" s="210"/>
      <c r="C22" s="26" t="s">
        <v>43</v>
      </c>
      <c r="D22" s="26" t="s">
        <v>143</v>
      </c>
      <c r="E22" s="26">
        <v>5</v>
      </c>
      <c r="F22" s="26">
        <v>47.5</v>
      </c>
      <c r="G22" s="26">
        <f>F22-41</f>
        <v>6.5</v>
      </c>
      <c r="H22" s="26">
        <f t="shared" si="0"/>
        <v>11.5</v>
      </c>
      <c r="I22" s="210"/>
      <c r="J22" s="210"/>
      <c r="K22" s="235"/>
    </row>
    <row r="23" spans="1:11" ht="12.75">
      <c r="A23" s="248">
        <v>10</v>
      </c>
      <c r="B23" s="223" t="s">
        <v>178</v>
      </c>
      <c r="C23" s="152" t="s">
        <v>16</v>
      </c>
      <c r="D23" s="152" t="s">
        <v>97</v>
      </c>
      <c r="E23" s="152">
        <v>30</v>
      </c>
      <c r="F23" s="152">
        <v>34.5</v>
      </c>
      <c r="G23" s="152">
        <v>0</v>
      </c>
      <c r="H23" s="152">
        <f>G23+E23</f>
        <v>30</v>
      </c>
      <c r="I23" s="208">
        <f>SUM(H23:H25)</f>
        <v>102.8</v>
      </c>
      <c r="J23" s="208">
        <f>SUM(F23:F25)</f>
        <v>174.3</v>
      </c>
      <c r="K23" s="238">
        <v>6</v>
      </c>
    </row>
    <row r="24" spans="1:11" ht="12.75">
      <c r="A24" s="249"/>
      <c r="B24" s="219"/>
      <c r="C24" s="25" t="s">
        <v>37</v>
      </c>
      <c r="D24" s="25" t="s">
        <v>174</v>
      </c>
      <c r="E24" s="25">
        <v>5</v>
      </c>
      <c r="F24" s="25">
        <v>68.7</v>
      </c>
      <c r="G24" s="25">
        <f>F24-41</f>
        <v>27.700000000000003</v>
      </c>
      <c r="H24" s="25">
        <f>G24+E24</f>
        <v>32.7</v>
      </c>
      <c r="I24" s="209"/>
      <c r="J24" s="209"/>
      <c r="K24" s="234"/>
    </row>
    <row r="25" spans="1:11" ht="13.5" thickBot="1">
      <c r="A25" s="250"/>
      <c r="B25" s="224"/>
      <c r="C25" s="153" t="s">
        <v>172</v>
      </c>
      <c r="D25" s="153" t="s">
        <v>173</v>
      </c>
      <c r="E25" s="153">
        <v>10</v>
      </c>
      <c r="F25" s="153">
        <v>71.1</v>
      </c>
      <c r="G25" s="153">
        <f>F25-41</f>
        <v>30.099999999999994</v>
      </c>
      <c r="H25" s="153">
        <f>G25+E25</f>
        <v>40.099999999999994</v>
      </c>
      <c r="I25" s="210"/>
      <c r="J25" s="210"/>
      <c r="K25" s="239"/>
    </row>
    <row r="26" spans="1:11" ht="12.75">
      <c r="A26" s="251">
        <v>7</v>
      </c>
      <c r="B26" s="218" t="s">
        <v>181</v>
      </c>
      <c r="C26" s="27" t="s">
        <v>41</v>
      </c>
      <c r="D26" s="27" t="s">
        <v>42</v>
      </c>
      <c r="E26" s="27">
        <v>10</v>
      </c>
      <c r="F26" s="27">
        <v>36</v>
      </c>
      <c r="G26" s="27">
        <v>0</v>
      </c>
      <c r="H26" s="27">
        <f>G26+E26</f>
        <v>10</v>
      </c>
      <c r="I26" s="208">
        <f>SUM(H26:H28)</f>
        <v>130</v>
      </c>
      <c r="J26" s="208">
        <f>SUM(F26:F28)</f>
        <v>76.6</v>
      </c>
      <c r="K26" s="233">
        <v>7</v>
      </c>
    </row>
    <row r="27" spans="1:11" ht="12.75">
      <c r="A27" s="249"/>
      <c r="B27" s="219"/>
      <c r="C27" s="25" t="s">
        <v>167</v>
      </c>
      <c r="D27" s="25" t="s">
        <v>169</v>
      </c>
      <c r="E27" s="25"/>
      <c r="F27" s="80" t="s">
        <v>228</v>
      </c>
      <c r="G27" s="25"/>
      <c r="H27" s="25">
        <v>120</v>
      </c>
      <c r="I27" s="209"/>
      <c r="J27" s="209"/>
      <c r="K27" s="234"/>
    </row>
    <row r="28" spans="1:11" ht="13.5" thickBot="1">
      <c r="A28" s="252"/>
      <c r="B28" s="220"/>
      <c r="C28" s="26" t="s">
        <v>32</v>
      </c>
      <c r="D28" s="26" t="s">
        <v>33</v>
      </c>
      <c r="E28" s="26">
        <v>0</v>
      </c>
      <c r="F28" s="26">
        <v>40.6</v>
      </c>
      <c r="G28" s="26">
        <v>0</v>
      </c>
      <c r="H28" s="26">
        <f>G28+E28</f>
        <v>0</v>
      </c>
      <c r="I28" s="210"/>
      <c r="J28" s="210"/>
      <c r="K28" s="235"/>
    </row>
    <row r="29" spans="1:11" ht="12.75">
      <c r="A29" s="245">
        <v>3</v>
      </c>
      <c r="B29" s="208" t="s">
        <v>118</v>
      </c>
      <c r="C29" s="27" t="s">
        <v>122</v>
      </c>
      <c r="D29" s="27" t="s">
        <v>123</v>
      </c>
      <c r="E29" s="27"/>
      <c r="F29" s="86" t="s">
        <v>228</v>
      </c>
      <c r="G29" s="27"/>
      <c r="H29" s="27">
        <v>120</v>
      </c>
      <c r="I29" s="208">
        <f>SUM(H29:H31)</f>
        <v>140</v>
      </c>
      <c r="J29" s="208">
        <f>SUM(F29:F31)</f>
        <v>70</v>
      </c>
      <c r="K29" s="233">
        <v>8</v>
      </c>
    </row>
    <row r="30" spans="1:11" ht="12.75">
      <c r="A30" s="246"/>
      <c r="B30" s="209"/>
      <c r="C30" s="25" t="s">
        <v>124</v>
      </c>
      <c r="D30" s="25" t="s">
        <v>125</v>
      </c>
      <c r="E30" s="25">
        <v>10</v>
      </c>
      <c r="F30" s="25">
        <v>37.5</v>
      </c>
      <c r="G30" s="25">
        <v>0</v>
      </c>
      <c r="H30" s="25">
        <f>E30+G30</f>
        <v>10</v>
      </c>
      <c r="I30" s="209"/>
      <c r="J30" s="209"/>
      <c r="K30" s="234"/>
    </row>
    <row r="31" spans="1:11" ht="13.5" thickBot="1">
      <c r="A31" s="247"/>
      <c r="B31" s="210"/>
      <c r="C31" s="26" t="s">
        <v>60</v>
      </c>
      <c r="D31" s="26" t="s">
        <v>64</v>
      </c>
      <c r="E31" s="26">
        <v>10</v>
      </c>
      <c r="F31" s="26">
        <v>32.5</v>
      </c>
      <c r="G31" s="26">
        <v>0</v>
      </c>
      <c r="H31" s="26">
        <f>G31+E31</f>
        <v>10</v>
      </c>
      <c r="I31" s="210"/>
      <c r="J31" s="210"/>
      <c r="K31" s="235"/>
    </row>
    <row r="32" spans="1:11" ht="12.75">
      <c r="A32" s="248">
        <v>6</v>
      </c>
      <c r="B32" s="223" t="s">
        <v>137</v>
      </c>
      <c r="C32" s="152" t="s">
        <v>35</v>
      </c>
      <c r="D32" s="152" t="s">
        <v>36</v>
      </c>
      <c r="E32" s="152">
        <v>10</v>
      </c>
      <c r="F32" s="152">
        <v>36.3</v>
      </c>
      <c r="G32" s="152">
        <v>0</v>
      </c>
      <c r="H32" s="152">
        <f>G32+E32</f>
        <v>10</v>
      </c>
      <c r="I32" s="208">
        <f>SUM(H32:H34)</f>
        <v>144.9</v>
      </c>
      <c r="J32" s="208">
        <f>SUM(F32:F34)</f>
        <v>82.19999999999999</v>
      </c>
      <c r="K32" s="238">
        <v>9</v>
      </c>
    </row>
    <row r="33" spans="1:11" ht="12.75">
      <c r="A33" s="249"/>
      <c r="B33" s="219"/>
      <c r="C33" s="25" t="s">
        <v>32</v>
      </c>
      <c r="D33" s="25" t="s">
        <v>34</v>
      </c>
      <c r="E33" s="25"/>
      <c r="F33" s="80" t="s">
        <v>228</v>
      </c>
      <c r="G33" s="25"/>
      <c r="H33" s="25">
        <v>120</v>
      </c>
      <c r="I33" s="209"/>
      <c r="J33" s="209"/>
      <c r="K33" s="234"/>
    </row>
    <row r="34" spans="1:11" ht="13.5" thickBot="1">
      <c r="A34" s="250"/>
      <c r="B34" s="224"/>
      <c r="C34" s="153" t="s">
        <v>43</v>
      </c>
      <c r="D34" s="153" t="s">
        <v>44</v>
      </c>
      <c r="E34" s="153">
        <v>10</v>
      </c>
      <c r="F34" s="153">
        <v>45.9</v>
      </c>
      <c r="G34" s="153">
        <f>F34-41</f>
        <v>4.899999999999999</v>
      </c>
      <c r="H34" s="153">
        <f>G34+E34</f>
        <v>14.899999999999999</v>
      </c>
      <c r="I34" s="210"/>
      <c r="J34" s="210"/>
      <c r="K34" s="239"/>
    </row>
    <row r="35" spans="1:11" ht="12.75">
      <c r="A35" s="245">
        <v>13</v>
      </c>
      <c r="B35" s="208" t="s">
        <v>255</v>
      </c>
      <c r="C35" s="27" t="s">
        <v>148</v>
      </c>
      <c r="D35" s="27" t="s">
        <v>149</v>
      </c>
      <c r="E35" s="27">
        <v>25</v>
      </c>
      <c r="F35" s="154">
        <v>37</v>
      </c>
      <c r="G35" s="27">
        <v>0</v>
      </c>
      <c r="H35" s="27">
        <f>G35+E35</f>
        <v>25</v>
      </c>
      <c r="I35" s="208">
        <f>SUM(H35:H37)</f>
        <v>145.4</v>
      </c>
      <c r="J35" s="208">
        <f>SUM(F35:F37)</f>
        <v>78.4</v>
      </c>
      <c r="K35" s="233">
        <v>10</v>
      </c>
    </row>
    <row r="36" spans="1:11" ht="12.75">
      <c r="A36" s="246"/>
      <c r="B36" s="209"/>
      <c r="C36" s="25" t="s">
        <v>151</v>
      </c>
      <c r="D36" s="25" t="s">
        <v>252</v>
      </c>
      <c r="E36" s="25">
        <v>0</v>
      </c>
      <c r="F36" s="25">
        <v>41.4</v>
      </c>
      <c r="G36" s="25">
        <f>F36-41</f>
        <v>0.3999999999999986</v>
      </c>
      <c r="H36" s="25">
        <f>G36+E36</f>
        <v>0.3999999999999986</v>
      </c>
      <c r="I36" s="209"/>
      <c r="J36" s="209"/>
      <c r="K36" s="234"/>
    </row>
    <row r="37" spans="1:11" ht="13.5" thickBot="1">
      <c r="A37" s="247"/>
      <c r="B37" s="210"/>
      <c r="C37" s="26" t="s">
        <v>153</v>
      </c>
      <c r="D37" s="26" t="s">
        <v>154</v>
      </c>
      <c r="E37" s="26"/>
      <c r="F37" s="106" t="s">
        <v>228</v>
      </c>
      <c r="G37" s="26"/>
      <c r="H37" s="26">
        <v>120</v>
      </c>
      <c r="I37" s="210"/>
      <c r="J37" s="210"/>
      <c r="K37" s="235"/>
    </row>
    <row r="38" spans="1:11" ht="12.75">
      <c r="A38" s="245">
        <v>12</v>
      </c>
      <c r="B38" s="208" t="s">
        <v>222</v>
      </c>
      <c r="C38" s="27" t="s">
        <v>196</v>
      </c>
      <c r="D38" s="27" t="s">
        <v>209</v>
      </c>
      <c r="E38" s="27">
        <v>25</v>
      </c>
      <c r="F38" s="27">
        <v>36.8</v>
      </c>
      <c r="G38" s="27">
        <v>0</v>
      </c>
      <c r="H38" s="27">
        <f>G38+E38</f>
        <v>25</v>
      </c>
      <c r="I38" s="208">
        <f>SUM(H38:H40)</f>
        <v>145.8</v>
      </c>
      <c r="J38" s="208">
        <f>SUM(F38:F40)</f>
        <v>78.6</v>
      </c>
      <c r="K38" s="233">
        <v>11</v>
      </c>
    </row>
    <row r="39" spans="1:11" ht="12.75">
      <c r="A39" s="246"/>
      <c r="B39" s="209"/>
      <c r="C39" s="25" t="s">
        <v>194</v>
      </c>
      <c r="D39" s="25" t="s">
        <v>215</v>
      </c>
      <c r="E39" s="25"/>
      <c r="F39" s="80" t="s">
        <v>228</v>
      </c>
      <c r="G39" s="25"/>
      <c r="H39" s="25">
        <v>120</v>
      </c>
      <c r="I39" s="209"/>
      <c r="J39" s="209"/>
      <c r="K39" s="234"/>
    </row>
    <row r="40" spans="1:11" ht="13.5" thickBot="1">
      <c r="A40" s="247"/>
      <c r="B40" s="210"/>
      <c r="C40" s="26" t="s">
        <v>216</v>
      </c>
      <c r="D40" s="26" t="s">
        <v>217</v>
      </c>
      <c r="E40" s="26">
        <v>0</v>
      </c>
      <c r="F40" s="26">
        <v>41.8</v>
      </c>
      <c r="G40" s="26">
        <f>F40-41</f>
        <v>0.7999999999999972</v>
      </c>
      <c r="H40" s="26">
        <f>G40+E40</f>
        <v>0.7999999999999972</v>
      </c>
      <c r="I40" s="210"/>
      <c r="J40" s="210"/>
      <c r="K40" s="235"/>
    </row>
    <row r="41" spans="1:11" ht="12.75">
      <c r="A41" s="248">
        <v>8</v>
      </c>
      <c r="B41" s="223" t="s">
        <v>182</v>
      </c>
      <c r="C41" s="152" t="s">
        <v>35</v>
      </c>
      <c r="D41" s="152" t="s">
        <v>183</v>
      </c>
      <c r="E41" s="152">
        <v>30</v>
      </c>
      <c r="F41" s="152">
        <v>50.7</v>
      </c>
      <c r="G41" s="152">
        <f>F41-41</f>
        <v>9.700000000000003</v>
      </c>
      <c r="H41" s="152">
        <f>G41+E41</f>
        <v>39.7</v>
      </c>
      <c r="I41" s="208">
        <f>SUM(H41:H43)</f>
        <v>168</v>
      </c>
      <c r="J41" s="208">
        <f>SUM(F41:F43)</f>
        <v>100</v>
      </c>
      <c r="K41" s="238">
        <v>12</v>
      </c>
    </row>
    <row r="42" spans="1:11" ht="12.75">
      <c r="A42" s="249"/>
      <c r="B42" s="219"/>
      <c r="C42" s="25" t="s">
        <v>37</v>
      </c>
      <c r="D42" s="25" t="s">
        <v>38</v>
      </c>
      <c r="E42" s="25">
        <v>0</v>
      </c>
      <c r="F42" s="25">
        <v>49.3</v>
      </c>
      <c r="G42" s="25">
        <f>F42-41</f>
        <v>8.299999999999997</v>
      </c>
      <c r="H42" s="25">
        <f>G42+E42</f>
        <v>8.299999999999997</v>
      </c>
      <c r="I42" s="209"/>
      <c r="J42" s="209"/>
      <c r="K42" s="234"/>
    </row>
    <row r="43" spans="1:11" ht="13.5" thickBot="1">
      <c r="A43" s="250"/>
      <c r="B43" s="224"/>
      <c r="C43" s="153" t="s">
        <v>170</v>
      </c>
      <c r="D43" s="153" t="s">
        <v>171</v>
      </c>
      <c r="E43" s="153"/>
      <c r="F43" s="157" t="s">
        <v>228</v>
      </c>
      <c r="G43" s="153"/>
      <c r="H43" s="153">
        <v>120</v>
      </c>
      <c r="I43" s="210"/>
      <c r="J43" s="210"/>
      <c r="K43" s="239"/>
    </row>
    <row r="44" spans="1:11" ht="12.75">
      <c r="A44" s="251">
        <v>9</v>
      </c>
      <c r="B44" s="218" t="s">
        <v>177</v>
      </c>
      <c r="C44" s="27" t="s">
        <v>39</v>
      </c>
      <c r="D44" s="27" t="s">
        <v>184</v>
      </c>
      <c r="E44" s="27"/>
      <c r="F44" s="86" t="s">
        <v>228</v>
      </c>
      <c r="G44" s="27"/>
      <c r="H44" s="27">
        <v>120</v>
      </c>
      <c r="I44" s="208">
        <f>SUM(H44:H46)</f>
        <v>168.5</v>
      </c>
      <c r="J44" s="208">
        <f>SUM(F44:F46)</f>
        <v>130.5</v>
      </c>
      <c r="K44" s="233">
        <v>13</v>
      </c>
    </row>
    <row r="45" spans="1:11" ht="12.75">
      <c r="A45" s="249"/>
      <c r="B45" s="219"/>
      <c r="C45" s="25" t="s">
        <v>30</v>
      </c>
      <c r="D45" s="25" t="s">
        <v>31</v>
      </c>
      <c r="E45" s="25">
        <v>0</v>
      </c>
      <c r="F45" s="25">
        <v>51.4</v>
      </c>
      <c r="G45" s="25">
        <f>F45-41</f>
        <v>10.399999999999999</v>
      </c>
      <c r="H45" s="25">
        <f>G45+E45</f>
        <v>10.399999999999999</v>
      </c>
      <c r="I45" s="209"/>
      <c r="J45" s="209"/>
      <c r="K45" s="234"/>
    </row>
    <row r="46" spans="1:11" ht="13.5" thickBot="1">
      <c r="A46" s="252"/>
      <c r="B46" s="220"/>
      <c r="C46" s="15" t="s">
        <v>167</v>
      </c>
      <c r="D46" s="15" t="s">
        <v>168</v>
      </c>
      <c r="E46" s="15">
        <v>0</v>
      </c>
      <c r="F46" s="15">
        <v>79.1</v>
      </c>
      <c r="G46" s="15">
        <f>F46-41</f>
        <v>38.099999999999994</v>
      </c>
      <c r="H46" s="15">
        <f>G46+E46</f>
        <v>38.099999999999994</v>
      </c>
      <c r="I46" s="210"/>
      <c r="J46" s="210"/>
      <c r="K46" s="235"/>
    </row>
    <row r="47" spans="1:11" ht="12.75">
      <c r="A47" s="237"/>
      <c r="B47" s="226"/>
      <c r="C47" s="142"/>
      <c r="D47" s="142"/>
      <c r="E47" s="142"/>
      <c r="F47" s="142"/>
      <c r="G47" s="142"/>
      <c r="H47" s="142"/>
      <c r="I47" s="237"/>
      <c r="J47" s="237"/>
      <c r="K47" s="237"/>
    </row>
    <row r="48" spans="1:11" ht="12.75">
      <c r="A48" s="236"/>
      <c r="B48" s="225"/>
      <c r="C48" s="55"/>
      <c r="D48" s="55"/>
      <c r="E48" s="55"/>
      <c r="F48" s="55"/>
      <c r="G48" s="55"/>
      <c r="H48" s="55"/>
      <c r="I48" s="236"/>
      <c r="J48" s="236"/>
      <c r="K48" s="236"/>
    </row>
    <row r="49" spans="1:11" ht="12.75">
      <c r="A49" s="236"/>
      <c r="B49" s="225"/>
      <c r="C49" s="55"/>
      <c r="D49" s="55"/>
      <c r="E49" s="55"/>
      <c r="F49" s="55"/>
      <c r="G49" s="55"/>
      <c r="H49" s="55"/>
      <c r="I49" s="236"/>
      <c r="J49" s="236"/>
      <c r="K49" s="236"/>
    </row>
    <row r="50" spans="1:11" ht="12.75">
      <c r="A50" s="236"/>
      <c r="B50" s="225"/>
      <c r="C50" s="55"/>
      <c r="D50" s="55"/>
      <c r="E50" s="55"/>
      <c r="F50" s="55"/>
      <c r="G50" s="55"/>
      <c r="H50" s="55"/>
      <c r="I50" s="236"/>
      <c r="J50" s="236"/>
      <c r="K50" s="236"/>
    </row>
    <row r="51" spans="1:11" ht="12.75">
      <c r="A51" s="236"/>
      <c r="B51" s="225"/>
      <c r="C51" s="55"/>
      <c r="D51" s="55"/>
      <c r="E51" s="55"/>
      <c r="F51" s="55"/>
      <c r="G51" s="55"/>
      <c r="H51" s="55"/>
      <c r="I51" s="236"/>
      <c r="J51" s="236"/>
      <c r="K51" s="236"/>
    </row>
    <row r="52" spans="1:11" ht="12.75">
      <c r="A52" s="236"/>
      <c r="B52" s="225"/>
      <c r="C52" s="55"/>
      <c r="D52" s="55"/>
      <c r="E52" s="55"/>
      <c r="F52" s="55"/>
      <c r="G52" s="55"/>
      <c r="H52" s="55"/>
      <c r="I52" s="236"/>
      <c r="J52" s="236"/>
      <c r="K52" s="236"/>
    </row>
    <row r="53" spans="1:11" ht="12.75">
      <c r="A53" s="236"/>
      <c r="B53" s="225"/>
      <c r="C53" s="55"/>
      <c r="D53" s="55"/>
      <c r="E53" s="55"/>
      <c r="F53" s="55"/>
      <c r="G53" s="55"/>
      <c r="H53" s="55"/>
      <c r="I53" s="236"/>
      <c r="J53" s="236"/>
      <c r="K53" s="236"/>
    </row>
    <row r="54" spans="1:11" ht="12.75">
      <c r="A54" s="236"/>
      <c r="B54" s="225"/>
      <c r="C54" s="55"/>
      <c r="D54" s="55"/>
      <c r="E54" s="55"/>
      <c r="F54" s="55"/>
      <c r="G54" s="55"/>
      <c r="H54" s="55"/>
      <c r="I54" s="236"/>
      <c r="J54" s="236"/>
      <c r="K54" s="236"/>
    </row>
    <row r="55" spans="1:11" ht="12.75">
      <c r="A55" s="236"/>
      <c r="B55" s="225"/>
      <c r="C55" s="55"/>
      <c r="D55" s="55"/>
      <c r="E55" s="55"/>
      <c r="F55" s="55"/>
      <c r="G55" s="55"/>
      <c r="H55" s="55"/>
      <c r="I55" s="236"/>
      <c r="J55" s="236"/>
      <c r="K55" s="236"/>
    </row>
    <row r="56" spans="1:11" ht="12.75">
      <c r="A56" s="236"/>
      <c r="B56" s="225"/>
      <c r="C56" s="55"/>
      <c r="D56" s="55"/>
      <c r="E56" s="55"/>
      <c r="F56" s="55"/>
      <c r="G56" s="55"/>
      <c r="H56" s="55"/>
      <c r="I56" s="236"/>
      <c r="J56" s="236"/>
      <c r="K56" s="236"/>
    </row>
    <row r="57" spans="1:11" ht="12.75">
      <c r="A57" s="236"/>
      <c r="B57" s="225"/>
      <c r="C57" s="55"/>
      <c r="D57" s="55"/>
      <c r="E57" s="55"/>
      <c r="F57" s="55"/>
      <c r="G57" s="55"/>
      <c r="H57" s="55"/>
      <c r="I57" s="236"/>
      <c r="J57" s="236"/>
      <c r="K57" s="236"/>
    </row>
    <row r="58" spans="1:11" ht="12.75">
      <c r="A58" s="236"/>
      <c r="B58" s="225"/>
      <c r="C58" s="55"/>
      <c r="D58" s="55"/>
      <c r="E58" s="55"/>
      <c r="F58" s="55"/>
      <c r="G58" s="55"/>
      <c r="H58" s="55"/>
      <c r="I58" s="236"/>
      <c r="J58" s="236"/>
      <c r="K58" s="236"/>
    </row>
    <row r="59" spans="1:11" ht="12.75">
      <c r="A59" s="236"/>
      <c r="B59" s="225"/>
      <c r="C59" s="55"/>
      <c r="D59" s="55"/>
      <c r="E59" s="55"/>
      <c r="F59" s="55"/>
      <c r="G59" s="55"/>
      <c r="H59" s="55"/>
      <c r="I59" s="236"/>
      <c r="J59" s="236"/>
      <c r="K59" s="236"/>
    </row>
    <row r="60" spans="1:11" ht="12.75">
      <c r="A60" s="236"/>
      <c r="B60" s="225"/>
      <c r="C60" s="55"/>
      <c r="D60" s="55"/>
      <c r="E60" s="55"/>
      <c r="F60" s="55"/>
      <c r="G60" s="55"/>
      <c r="H60" s="55"/>
      <c r="I60" s="236"/>
      <c r="J60" s="236"/>
      <c r="K60" s="236"/>
    </row>
    <row r="61" spans="1:11" ht="12.75">
      <c r="A61" s="236"/>
      <c r="B61" s="225"/>
      <c r="C61" s="55"/>
      <c r="D61" s="55"/>
      <c r="E61" s="55"/>
      <c r="F61" s="55"/>
      <c r="G61" s="55"/>
      <c r="H61" s="55"/>
      <c r="I61" s="236"/>
      <c r="J61" s="236"/>
      <c r="K61" s="236"/>
    </row>
    <row r="62" spans="1:11" ht="12.75">
      <c r="A62" s="236"/>
      <c r="B62" s="225"/>
      <c r="C62" s="55"/>
      <c r="D62" s="55"/>
      <c r="E62" s="55"/>
      <c r="F62" s="55"/>
      <c r="G62" s="55"/>
      <c r="H62" s="55"/>
      <c r="I62" s="236"/>
      <c r="J62" s="236"/>
      <c r="K62" s="236"/>
    </row>
    <row r="63" spans="1:11" ht="12.75">
      <c r="A63" s="236"/>
      <c r="B63" s="225"/>
      <c r="C63" s="55"/>
      <c r="D63" s="55"/>
      <c r="E63" s="55"/>
      <c r="F63" s="55"/>
      <c r="G63" s="55"/>
      <c r="H63" s="55"/>
      <c r="I63" s="236"/>
      <c r="J63" s="236"/>
      <c r="K63" s="236"/>
    </row>
    <row r="64" spans="1:11" ht="12.75">
      <c r="A64" s="236"/>
      <c r="B64" s="225"/>
      <c r="C64" s="55"/>
      <c r="D64" s="55"/>
      <c r="E64" s="55"/>
      <c r="F64" s="55"/>
      <c r="G64" s="55"/>
      <c r="H64" s="55"/>
      <c r="I64" s="236"/>
      <c r="J64" s="236"/>
      <c r="K64" s="236"/>
    </row>
    <row r="65" spans="1:11" ht="12.75">
      <c r="A65" s="236"/>
      <c r="B65" s="225"/>
      <c r="C65" s="55"/>
      <c r="D65" s="55"/>
      <c r="E65" s="55"/>
      <c r="F65" s="55"/>
      <c r="G65" s="55"/>
      <c r="H65" s="55"/>
      <c r="I65" s="236"/>
      <c r="J65" s="236"/>
      <c r="K65" s="236"/>
    </row>
    <row r="66" spans="1:11" ht="12.75">
      <c r="A66" s="236"/>
      <c r="B66" s="225"/>
      <c r="C66" s="55"/>
      <c r="D66" s="55"/>
      <c r="E66" s="55"/>
      <c r="F66" s="55"/>
      <c r="G66" s="55"/>
      <c r="H66" s="55"/>
      <c r="I66" s="236"/>
      <c r="J66" s="236"/>
      <c r="K66" s="236"/>
    </row>
    <row r="67" spans="1:11" ht="12.75">
      <c r="A67" s="236"/>
      <c r="B67" s="225"/>
      <c r="C67" s="55"/>
      <c r="D67" s="55"/>
      <c r="E67" s="55"/>
      <c r="F67" s="55"/>
      <c r="G67" s="55"/>
      <c r="H67" s="55"/>
      <c r="I67" s="236"/>
      <c r="J67" s="236"/>
      <c r="K67" s="236"/>
    </row>
    <row r="68" spans="1:11" ht="12.75">
      <c r="A68" s="236"/>
      <c r="B68" s="225"/>
      <c r="C68" s="55"/>
      <c r="D68" s="55"/>
      <c r="E68" s="55"/>
      <c r="F68" s="55"/>
      <c r="G68" s="55"/>
      <c r="H68" s="55"/>
      <c r="I68" s="236"/>
      <c r="J68" s="236"/>
      <c r="K68" s="236"/>
    </row>
    <row r="69" spans="1:11" ht="12.75">
      <c r="A69" s="236"/>
      <c r="B69" s="225"/>
      <c r="C69" s="55"/>
      <c r="D69" s="55"/>
      <c r="E69" s="55"/>
      <c r="F69" s="55"/>
      <c r="G69" s="55"/>
      <c r="H69" s="55"/>
      <c r="I69" s="236"/>
      <c r="J69" s="236"/>
      <c r="K69" s="236"/>
    </row>
    <row r="70" spans="1:11" ht="12.75">
      <c r="A70" s="236"/>
      <c r="B70" s="225"/>
      <c r="C70" s="55"/>
      <c r="D70" s="55"/>
      <c r="E70" s="55"/>
      <c r="F70" s="55"/>
      <c r="G70" s="55"/>
      <c r="H70" s="55"/>
      <c r="I70" s="236"/>
      <c r="J70" s="236"/>
      <c r="K70" s="236"/>
    </row>
    <row r="71" spans="1:11" ht="12.75">
      <c r="A71" s="236"/>
      <c r="B71" s="225"/>
      <c r="C71" s="55"/>
      <c r="D71" s="55"/>
      <c r="E71" s="55"/>
      <c r="F71" s="55"/>
      <c r="G71" s="55"/>
      <c r="H71" s="55"/>
      <c r="I71" s="236"/>
      <c r="J71" s="236"/>
      <c r="K71" s="236"/>
    </row>
    <row r="72" spans="1:11" ht="12.75">
      <c r="A72" s="236"/>
      <c r="B72" s="225"/>
      <c r="C72" s="55"/>
      <c r="D72" s="55"/>
      <c r="E72" s="55"/>
      <c r="F72" s="55"/>
      <c r="G72" s="55"/>
      <c r="H72" s="55"/>
      <c r="I72" s="236"/>
      <c r="J72" s="236"/>
      <c r="K72" s="236"/>
    </row>
    <row r="73" spans="1:11" ht="12.75">
      <c r="A73" s="236"/>
      <c r="B73" s="225"/>
      <c r="C73" s="55"/>
      <c r="D73" s="55"/>
      <c r="E73" s="55"/>
      <c r="F73" s="55"/>
      <c r="G73" s="55"/>
      <c r="H73" s="55"/>
      <c r="I73" s="236"/>
      <c r="J73" s="236"/>
      <c r="K73" s="236"/>
    </row>
    <row r="74" spans="1:11" ht="12.75">
      <c r="A74" s="236"/>
      <c r="B74" s="225"/>
      <c r="C74" s="55"/>
      <c r="D74" s="55"/>
      <c r="E74" s="55"/>
      <c r="F74" s="55"/>
      <c r="G74" s="55"/>
      <c r="H74" s="55"/>
      <c r="I74" s="236"/>
      <c r="J74" s="236"/>
      <c r="K74" s="236"/>
    </row>
    <row r="75" spans="1:11" ht="12.75">
      <c r="A75" s="236"/>
      <c r="B75" s="225"/>
      <c r="C75" s="55"/>
      <c r="D75" s="55"/>
      <c r="E75" s="55"/>
      <c r="F75" s="55"/>
      <c r="G75" s="55"/>
      <c r="H75" s="55"/>
      <c r="I75" s="236"/>
      <c r="J75" s="236"/>
      <c r="K75" s="236"/>
    </row>
    <row r="76" spans="1:11" ht="12.75">
      <c r="A76" s="236"/>
      <c r="B76" s="225"/>
      <c r="C76" s="55"/>
      <c r="D76" s="55"/>
      <c r="E76" s="55"/>
      <c r="F76" s="55"/>
      <c r="G76" s="55"/>
      <c r="H76" s="55"/>
      <c r="I76" s="236"/>
      <c r="J76" s="236"/>
      <c r="K76" s="236"/>
    </row>
    <row r="77" spans="1:11" ht="12.75">
      <c r="A77" s="236"/>
      <c r="B77" s="225"/>
      <c r="C77" s="55"/>
      <c r="D77" s="55"/>
      <c r="E77" s="55"/>
      <c r="F77" s="55"/>
      <c r="G77" s="55"/>
      <c r="H77" s="55"/>
      <c r="I77" s="236"/>
      <c r="J77" s="236"/>
      <c r="K77" s="236"/>
    </row>
    <row r="78" spans="1:11" ht="12.75">
      <c r="A78" s="236"/>
      <c r="B78" s="225"/>
      <c r="C78" s="55"/>
      <c r="D78" s="55"/>
      <c r="E78" s="55"/>
      <c r="F78" s="55"/>
      <c r="G78" s="55"/>
      <c r="H78" s="55"/>
      <c r="I78" s="236"/>
      <c r="J78" s="236"/>
      <c r="K78" s="236"/>
    </row>
    <row r="79" spans="1:11" ht="12.75">
      <c r="A79" s="236"/>
      <c r="B79" s="225"/>
      <c r="C79" s="55"/>
      <c r="D79" s="55"/>
      <c r="E79" s="55"/>
      <c r="F79" s="55"/>
      <c r="G79" s="55"/>
      <c r="H79" s="55"/>
      <c r="I79" s="236"/>
      <c r="J79" s="236"/>
      <c r="K79" s="236"/>
    </row>
    <row r="80" spans="1:11" ht="12.75">
      <c r="A80" s="236"/>
      <c r="B80" s="225"/>
      <c r="C80" s="55"/>
      <c r="D80" s="55"/>
      <c r="E80" s="55"/>
      <c r="F80" s="55"/>
      <c r="G80" s="55"/>
      <c r="H80" s="55"/>
      <c r="I80" s="236"/>
      <c r="J80" s="236"/>
      <c r="K80" s="236"/>
    </row>
    <row r="81" spans="1:11" ht="12.75">
      <c r="A81" s="236"/>
      <c r="B81" s="225"/>
      <c r="C81" s="55"/>
      <c r="D81" s="55"/>
      <c r="E81" s="55"/>
      <c r="F81" s="55"/>
      <c r="G81" s="55"/>
      <c r="H81" s="55"/>
      <c r="I81" s="236"/>
      <c r="J81" s="236"/>
      <c r="K81" s="236"/>
    </row>
    <row r="82" spans="1:11" ht="12.75">
      <c r="A82" s="236"/>
      <c r="B82" s="225"/>
      <c r="C82" s="55"/>
      <c r="D82" s="55"/>
      <c r="E82" s="55"/>
      <c r="F82" s="55"/>
      <c r="G82" s="55"/>
      <c r="H82" s="55"/>
      <c r="I82" s="236"/>
      <c r="J82" s="236"/>
      <c r="K82" s="236"/>
    </row>
  </sheetData>
  <mergeCells count="135">
    <mergeCell ref="A8:A10"/>
    <mergeCell ref="B8:B10"/>
    <mergeCell ref="A11:A13"/>
    <mergeCell ref="B11:B13"/>
    <mergeCell ref="A29:A31"/>
    <mergeCell ref="B29:B31"/>
    <mergeCell ref="A26:A28"/>
    <mergeCell ref="B26:B28"/>
    <mergeCell ref="A32:A34"/>
    <mergeCell ref="B32:B34"/>
    <mergeCell ref="A44:A46"/>
    <mergeCell ref="B44:B46"/>
    <mergeCell ref="A41:A43"/>
    <mergeCell ref="B41:B43"/>
    <mergeCell ref="A35:A37"/>
    <mergeCell ref="B35:B37"/>
    <mergeCell ref="A38:A40"/>
    <mergeCell ref="B38:B40"/>
    <mergeCell ref="A17:A19"/>
    <mergeCell ref="B17:B19"/>
    <mergeCell ref="A23:A25"/>
    <mergeCell ref="B23:B25"/>
    <mergeCell ref="A20:A22"/>
    <mergeCell ref="B20:B22"/>
    <mergeCell ref="A50:A52"/>
    <mergeCell ref="B50:B52"/>
    <mergeCell ref="A47:A49"/>
    <mergeCell ref="B47:B49"/>
    <mergeCell ref="D6:D7"/>
    <mergeCell ref="A3:D4"/>
    <mergeCell ref="A62:A64"/>
    <mergeCell ref="B62:B64"/>
    <mergeCell ref="A59:A61"/>
    <mergeCell ref="B59:B61"/>
    <mergeCell ref="A56:A58"/>
    <mergeCell ref="B56:B58"/>
    <mergeCell ref="A53:A55"/>
    <mergeCell ref="B53:B55"/>
    <mergeCell ref="I6:I7"/>
    <mergeCell ref="J6:J7"/>
    <mergeCell ref="K6:K7"/>
    <mergeCell ref="A14:A16"/>
    <mergeCell ref="B6:B7"/>
    <mergeCell ref="B14:B16"/>
    <mergeCell ref="E6:H6"/>
    <mergeCell ref="I14:I16"/>
    <mergeCell ref="K14:K16"/>
    <mergeCell ref="C6:C7"/>
    <mergeCell ref="A68:A70"/>
    <mergeCell ref="B68:B70"/>
    <mergeCell ref="A65:A67"/>
    <mergeCell ref="B65:B67"/>
    <mergeCell ref="A74:A76"/>
    <mergeCell ref="B74:B76"/>
    <mergeCell ref="A71:A73"/>
    <mergeCell ref="B71:B73"/>
    <mergeCell ref="A80:A82"/>
    <mergeCell ref="B80:B82"/>
    <mergeCell ref="A77:A79"/>
    <mergeCell ref="B77:B79"/>
    <mergeCell ref="I41:I43"/>
    <mergeCell ref="I44:I46"/>
    <mergeCell ref="I8:I10"/>
    <mergeCell ref="I29:I31"/>
    <mergeCell ref="I11:I13"/>
    <mergeCell ref="I20:I22"/>
    <mergeCell ref="I38:I40"/>
    <mergeCell ref="I35:I37"/>
    <mergeCell ref="I32:I34"/>
    <mergeCell ref="I26:I28"/>
    <mergeCell ref="I74:I76"/>
    <mergeCell ref="I77:I79"/>
    <mergeCell ref="I80:I82"/>
    <mergeCell ref="I59:I61"/>
    <mergeCell ref="I62:I64"/>
    <mergeCell ref="I65:I67"/>
    <mergeCell ref="I68:I70"/>
    <mergeCell ref="J53:J55"/>
    <mergeCell ref="J62:J64"/>
    <mergeCell ref="J8:J10"/>
    <mergeCell ref="I71:I73"/>
    <mergeCell ref="I47:I49"/>
    <mergeCell ref="I50:I52"/>
    <mergeCell ref="I53:I55"/>
    <mergeCell ref="I56:I58"/>
    <mergeCell ref="I23:I25"/>
    <mergeCell ref="I17:I19"/>
    <mergeCell ref="K8:K10"/>
    <mergeCell ref="J29:J31"/>
    <mergeCell ref="K29:K31"/>
    <mergeCell ref="K11:K13"/>
    <mergeCell ref="J14:J16"/>
    <mergeCell ref="J11:J13"/>
    <mergeCell ref="J26:J28"/>
    <mergeCell ref="J23:J25"/>
    <mergeCell ref="J20:J22"/>
    <mergeCell ref="J17:J19"/>
    <mergeCell ref="K17:K19"/>
    <mergeCell ref="J38:J40"/>
    <mergeCell ref="K38:K40"/>
    <mergeCell ref="K23:K25"/>
    <mergeCell ref="K20:K22"/>
    <mergeCell ref="J32:J34"/>
    <mergeCell ref="K32:K34"/>
    <mergeCell ref="K26:K28"/>
    <mergeCell ref="K35:K37"/>
    <mergeCell ref="J35:J37"/>
    <mergeCell ref="J47:J49"/>
    <mergeCell ref="K47:K49"/>
    <mergeCell ref="J50:J52"/>
    <mergeCell ref="K50:K52"/>
    <mergeCell ref="K41:K43"/>
    <mergeCell ref="J44:J46"/>
    <mergeCell ref="K44:K46"/>
    <mergeCell ref="J41:J43"/>
    <mergeCell ref="J56:J58"/>
    <mergeCell ref="K56:K58"/>
    <mergeCell ref="J59:J61"/>
    <mergeCell ref="K59:K61"/>
    <mergeCell ref="J80:J82"/>
    <mergeCell ref="K80:K82"/>
    <mergeCell ref="J71:J73"/>
    <mergeCell ref="K71:K73"/>
    <mergeCell ref="J74:J76"/>
    <mergeCell ref="K74:K76"/>
    <mergeCell ref="A1:D1"/>
    <mergeCell ref="E1:G1"/>
    <mergeCell ref="J77:J79"/>
    <mergeCell ref="K77:K79"/>
    <mergeCell ref="K62:K64"/>
    <mergeCell ref="J65:J67"/>
    <mergeCell ref="K65:K67"/>
    <mergeCell ref="J68:J70"/>
    <mergeCell ref="K68:K70"/>
    <mergeCell ref="K53:K55"/>
  </mergeCells>
  <printOptions/>
  <pageMargins left="0.3937007874015748" right="0.3937007874015748" top="0.3937007874015748" bottom="0.3937007874015748" header="0" footer="0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zoomScale="87" zoomScaleNormal="87" zoomScaleSheetLayoutView="75" workbookViewId="0" topLeftCell="A1">
      <selection activeCell="E27" sqref="E27"/>
    </sheetView>
  </sheetViews>
  <sheetFormatPr defaultColWidth="9.00390625" defaultRowHeight="12.75"/>
  <cols>
    <col min="1" max="1" width="3.25390625" style="0" customWidth="1"/>
    <col min="2" max="2" width="19.75390625" style="0" customWidth="1"/>
    <col min="3" max="3" width="17.75390625" style="0" customWidth="1"/>
    <col min="4" max="4" width="8.875" style="0" customWidth="1"/>
    <col min="5" max="5" width="7.75390625" style="0" customWidth="1"/>
    <col min="6" max="6" width="8.375" style="0" customWidth="1"/>
    <col min="7" max="8" width="6.75390625" style="0" customWidth="1"/>
    <col min="9" max="9" width="8.375" style="0" customWidth="1"/>
    <col min="10" max="10" width="8.75390625" style="0" customWidth="1"/>
    <col min="11" max="11" width="16.75390625" style="0" customWidth="1"/>
    <col min="12" max="12" width="12.75390625" style="0" customWidth="1"/>
    <col min="13" max="15" width="8.75390625" style="0" customWidth="1"/>
    <col min="16" max="16" width="7.75390625" style="0" customWidth="1"/>
  </cols>
  <sheetData>
    <row r="1" spans="1:16" ht="16.5" customHeight="1" thickBot="1">
      <c r="A1" s="181" t="s">
        <v>144</v>
      </c>
      <c r="B1" s="181"/>
      <c r="C1" s="181"/>
      <c r="D1" s="181"/>
      <c r="E1" s="181"/>
      <c r="F1" s="2"/>
      <c r="G1" s="2"/>
      <c r="H1" s="2" t="s">
        <v>0</v>
      </c>
      <c r="I1" s="180" t="s">
        <v>242</v>
      </c>
      <c r="J1" s="180"/>
      <c r="K1" s="180"/>
      <c r="L1" s="188" t="s">
        <v>223</v>
      </c>
      <c r="M1" s="188"/>
      <c r="N1" s="188"/>
      <c r="O1" s="188"/>
      <c r="P1" s="188"/>
    </row>
    <row r="2" spans="1:12" ht="12" customHeight="1">
      <c r="A2" s="188" t="s">
        <v>131</v>
      </c>
      <c r="B2" s="188"/>
      <c r="C2" s="188"/>
      <c r="D2" s="18" t="s">
        <v>145</v>
      </c>
      <c r="E2" s="34" t="s">
        <v>224</v>
      </c>
      <c r="F2" s="19" t="s">
        <v>85</v>
      </c>
      <c r="G2" s="10">
        <v>41</v>
      </c>
      <c r="K2" s="18" t="s">
        <v>13</v>
      </c>
      <c r="L2" s="32" t="s">
        <v>226</v>
      </c>
    </row>
    <row r="3" spans="1:12" ht="12" customHeight="1" thickBot="1">
      <c r="A3" s="193"/>
      <c r="B3" s="193"/>
      <c r="C3" s="193"/>
      <c r="D3" s="21" t="s">
        <v>146</v>
      </c>
      <c r="E3" s="35" t="s">
        <v>225</v>
      </c>
      <c r="F3" s="22" t="s">
        <v>86</v>
      </c>
      <c r="G3" s="16">
        <v>82</v>
      </c>
      <c r="K3" s="21" t="s">
        <v>14</v>
      </c>
      <c r="L3" s="33" t="s">
        <v>227</v>
      </c>
    </row>
    <row r="4" spans="1:16" ht="13.5" customHeight="1" thickBot="1">
      <c r="A4" s="3" t="s">
        <v>1</v>
      </c>
      <c r="B4" s="186" t="s">
        <v>2</v>
      </c>
      <c r="C4" s="186" t="s">
        <v>3</v>
      </c>
      <c r="D4" s="176" t="s">
        <v>4</v>
      </c>
      <c r="E4" s="184"/>
      <c r="F4" s="184"/>
      <c r="G4" s="184"/>
      <c r="H4" s="184"/>
      <c r="I4" s="184"/>
      <c r="J4" s="185"/>
      <c r="K4" s="182" t="s">
        <v>5</v>
      </c>
      <c r="L4" s="183"/>
      <c r="M4" s="184"/>
      <c r="N4" s="185"/>
      <c r="O4" s="189" t="s">
        <v>6</v>
      </c>
      <c r="P4" s="191" t="s">
        <v>7</v>
      </c>
    </row>
    <row r="5" spans="1:16" ht="35.25" customHeight="1" thickBot="1">
      <c r="A5" s="5" t="s">
        <v>8</v>
      </c>
      <c r="B5" s="187"/>
      <c r="C5" s="187"/>
      <c r="D5" s="6" t="s">
        <v>9</v>
      </c>
      <c r="E5" s="6" t="s">
        <v>10</v>
      </c>
      <c r="F5" s="6" t="s">
        <v>11</v>
      </c>
      <c r="G5" s="6" t="s">
        <v>12</v>
      </c>
      <c r="H5" s="28" t="s">
        <v>139</v>
      </c>
      <c r="I5" s="77" t="s">
        <v>141</v>
      </c>
      <c r="J5" s="29" t="s">
        <v>140</v>
      </c>
      <c r="K5" s="7" t="s">
        <v>13</v>
      </c>
      <c r="L5" s="7" t="s">
        <v>14</v>
      </c>
      <c r="M5" s="7" t="s">
        <v>10</v>
      </c>
      <c r="N5" s="29" t="s">
        <v>15</v>
      </c>
      <c r="O5" s="190"/>
      <c r="P5" s="192"/>
    </row>
    <row r="6" spans="1:16" ht="13.5" customHeight="1">
      <c r="A6" s="47">
        <v>5</v>
      </c>
      <c r="B6" s="44" t="s">
        <v>16</v>
      </c>
      <c r="C6" s="49" t="s">
        <v>17</v>
      </c>
      <c r="D6" s="30">
        <v>0</v>
      </c>
      <c r="E6" s="27">
        <v>38.1</v>
      </c>
      <c r="F6" s="140">
        <v>0</v>
      </c>
      <c r="G6" s="140">
        <f aca="true" t="shared" si="0" ref="G6:G15">F6+D6</f>
        <v>0</v>
      </c>
      <c r="H6" s="110">
        <v>3</v>
      </c>
      <c r="I6" s="86"/>
      <c r="J6" s="82">
        <f aca="true" t="shared" si="1" ref="J6:J15">120-D6-E6</f>
        <v>81.9</v>
      </c>
      <c r="K6" s="18">
        <f>5+7+7+5+1+3+5+5</f>
        <v>38</v>
      </c>
      <c r="L6" s="19">
        <v>16</v>
      </c>
      <c r="M6" s="9">
        <v>41.9</v>
      </c>
      <c r="N6" s="82">
        <f aca="true" t="shared" si="2" ref="N6:N17">K6+L6</f>
        <v>54</v>
      </c>
      <c r="O6" s="88">
        <f aca="true" t="shared" si="3" ref="O6:O13">N6+J6</f>
        <v>135.9</v>
      </c>
      <c r="P6" s="127">
        <v>1</v>
      </c>
    </row>
    <row r="7" spans="1:16" ht="13.5" customHeight="1">
      <c r="A7" s="70">
        <v>4</v>
      </c>
      <c r="B7" s="74" t="s">
        <v>22</v>
      </c>
      <c r="C7" s="75" t="s">
        <v>142</v>
      </c>
      <c r="D7" s="68">
        <v>0</v>
      </c>
      <c r="E7" s="73">
        <v>35.4</v>
      </c>
      <c r="F7" s="73"/>
      <c r="G7" s="73">
        <f t="shared" si="0"/>
        <v>0</v>
      </c>
      <c r="H7" s="85">
        <v>1</v>
      </c>
      <c r="I7" s="85">
        <v>1</v>
      </c>
      <c r="J7" s="83">
        <f t="shared" si="1"/>
        <v>84.6</v>
      </c>
      <c r="K7" s="63">
        <f>1+3+5+1+5+3+1+5+5+7+7</f>
        <v>43</v>
      </c>
      <c r="L7" s="60">
        <v>0</v>
      </c>
      <c r="M7" s="12">
        <v>42.9</v>
      </c>
      <c r="N7" s="83">
        <f t="shared" si="2"/>
        <v>43</v>
      </c>
      <c r="O7" s="89">
        <f t="shared" si="3"/>
        <v>127.6</v>
      </c>
      <c r="P7" s="93">
        <v>2</v>
      </c>
    </row>
    <row r="8" spans="1:16" ht="13.5" customHeight="1">
      <c r="A8" s="70">
        <v>7</v>
      </c>
      <c r="B8" s="68" t="s">
        <v>66</v>
      </c>
      <c r="C8" s="71" t="s">
        <v>68</v>
      </c>
      <c r="D8" s="68">
        <v>10</v>
      </c>
      <c r="E8" s="73">
        <v>35.9</v>
      </c>
      <c r="F8" s="73">
        <v>0</v>
      </c>
      <c r="G8" s="73">
        <f t="shared" si="0"/>
        <v>10</v>
      </c>
      <c r="H8" s="79">
        <v>6</v>
      </c>
      <c r="I8" s="85">
        <v>3</v>
      </c>
      <c r="J8" s="83">
        <f t="shared" si="1"/>
        <v>74.1</v>
      </c>
      <c r="K8" s="63">
        <f>5+7+7+5+3+1+5</f>
        <v>33</v>
      </c>
      <c r="L8" s="60">
        <v>8</v>
      </c>
      <c r="M8" s="12">
        <v>39.5</v>
      </c>
      <c r="N8" s="83">
        <f t="shared" si="2"/>
        <v>41</v>
      </c>
      <c r="O8" s="89">
        <f t="shared" si="3"/>
        <v>115.1</v>
      </c>
      <c r="P8" s="93">
        <v>3</v>
      </c>
    </row>
    <row r="9" spans="1:16" ht="13.5" customHeight="1">
      <c r="A9" s="40">
        <v>6</v>
      </c>
      <c r="B9" s="44" t="s">
        <v>20</v>
      </c>
      <c r="C9" s="49" t="s">
        <v>21</v>
      </c>
      <c r="D9" s="31">
        <v>0</v>
      </c>
      <c r="E9" s="78">
        <v>37</v>
      </c>
      <c r="F9" s="25">
        <v>0</v>
      </c>
      <c r="G9" s="25">
        <f t="shared" si="0"/>
        <v>0</v>
      </c>
      <c r="H9" s="87">
        <v>2</v>
      </c>
      <c r="I9" s="81"/>
      <c r="J9" s="84">
        <f t="shared" si="1"/>
        <v>83</v>
      </c>
      <c r="K9" s="63">
        <f>3+3+1+5+3+7+1+3+5</f>
        <v>31</v>
      </c>
      <c r="L9" s="60">
        <v>0</v>
      </c>
      <c r="M9" s="12">
        <v>44.4</v>
      </c>
      <c r="N9" s="83">
        <f t="shared" si="2"/>
        <v>31</v>
      </c>
      <c r="O9" s="90">
        <f t="shared" si="3"/>
        <v>114</v>
      </c>
      <c r="P9" s="20">
        <v>4</v>
      </c>
    </row>
    <row r="10" spans="1:16" ht="13.5" customHeight="1">
      <c r="A10" s="40">
        <v>3</v>
      </c>
      <c r="B10" s="44" t="s">
        <v>84</v>
      </c>
      <c r="C10" s="49" t="s">
        <v>193</v>
      </c>
      <c r="D10" s="31">
        <v>0</v>
      </c>
      <c r="E10" s="25">
        <v>46.5</v>
      </c>
      <c r="F10" s="25">
        <f aca="true" t="shared" si="4" ref="F10:F15">E10-41</f>
        <v>5.5</v>
      </c>
      <c r="G10" s="25">
        <f t="shared" si="0"/>
        <v>5.5</v>
      </c>
      <c r="H10" s="80">
        <v>5</v>
      </c>
      <c r="I10" s="80"/>
      <c r="J10" s="83">
        <f t="shared" si="1"/>
        <v>73.5</v>
      </c>
      <c r="K10" s="63">
        <f>1+5+1+7+5+5+7+1</f>
        <v>32</v>
      </c>
      <c r="L10" s="60">
        <v>8</v>
      </c>
      <c r="M10" s="12">
        <v>41.6</v>
      </c>
      <c r="N10" s="83">
        <f t="shared" si="2"/>
        <v>40</v>
      </c>
      <c r="O10" s="89">
        <f t="shared" si="3"/>
        <v>113.5</v>
      </c>
      <c r="P10" s="20">
        <v>5</v>
      </c>
    </row>
    <row r="11" spans="1:16" ht="13.5" customHeight="1">
      <c r="A11" s="70">
        <v>8</v>
      </c>
      <c r="B11" s="74" t="s">
        <v>18</v>
      </c>
      <c r="C11" s="75" t="s">
        <v>19</v>
      </c>
      <c r="D11" s="68">
        <v>0</v>
      </c>
      <c r="E11" s="73">
        <v>41.9</v>
      </c>
      <c r="F11" s="73">
        <f t="shared" si="4"/>
        <v>0.8999999999999986</v>
      </c>
      <c r="G11" s="73">
        <f t="shared" si="0"/>
        <v>0.8999999999999986</v>
      </c>
      <c r="H11" s="79">
        <v>4</v>
      </c>
      <c r="I11" s="85">
        <v>2</v>
      </c>
      <c r="J11" s="83">
        <f t="shared" si="1"/>
        <v>78.1</v>
      </c>
      <c r="K11" s="63">
        <f>5+7+7+5+1+3+5</f>
        <v>33</v>
      </c>
      <c r="L11" s="60">
        <v>0</v>
      </c>
      <c r="M11" s="12">
        <v>37.5</v>
      </c>
      <c r="N11" s="83">
        <f t="shared" si="2"/>
        <v>33</v>
      </c>
      <c r="O11" s="89">
        <f t="shared" si="3"/>
        <v>111.1</v>
      </c>
      <c r="P11" s="20">
        <v>6</v>
      </c>
    </row>
    <row r="12" spans="1:16" ht="13.5" customHeight="1">
      <c r="A12" s="70">
        <v>9</v>
      </c>
      <c r="B12" s="74" t="s">
        <v>151</v>
      </c>
      <c r="C12" s="75" t="s">
        <v>157</v>
      </c>
      <c r="D12" s="68">
        <v>0</v>
      </c>
      <c r="E12" s="73">
        <v>55.5</v>
      </c>
      <c r="F12" s="73">
        <f t="shared" si="4"/>
        <v>14.5</v>
      </c>
      <c r="G12" s="73">
        <f t="shared" si="0"/>
        <v>14.5</v>
      </c>
      <c r="H12" s="79">
        <v>8</v>
      </c>
      <c r="I12" s="79">
        <v>5</v>
      </c>
      <c r="J12" s="83">
        <f t="shared" si="1"/>
        <v>64.5</v>
      </c>
      <c r="K12" s="63">
        <f>5+7+1+5+5+1+3</f>
        <v>27</v>
      </c>
      <c r="L12" s="60">
        <v>8</v>
      </c>
      <c r="M12" s="12">
        <v>41.6</v>
      </c>
      <c r="N12" s="83">
        <f t="shared" si="2"/>
        <v>35</v>
      </c>
      <c r="O12" s="89">
        <f t="shared" si="3"/>
        <v>99.5</v>
      </c>
      <c r="P12" s="20">
        <v>7</v>
      </c>
    </row>
    <row r="13" spans="1:16" ht="13.5" customHeight="1">
      <c r="A13" s="70">
        <v>13</v>
      </c>
      <c r="B13" s="68" t="s">
        <v>194</v>
      </c>
      <c r="C13" s="71" t="s">
        <v>195</v>
      </c>
      <c r="D13" s="68">
        <v>10</v>
      </c>
      <c r="E13" s="73">
        <v>44.3</v>
      </c>
      <c r="F13" s="73">
        <f t="shared" si="4"/>
        <v>3.299999999999997</v>
      </c>
      <c r="G13" s="73">
        <f t="shared" si="0"/>
        <v>13.299999999999997</v>
      </c>
      <c r="H13" s="79">
        <v>7</v>
      </c>
      <c r="I13" s="79">
        <v>4</v>
      </c>
      <c r="J13" s="83">
        <f t="shared" si="1"/>
        <v>65.7</v>
      </c>
      <c r="K13" s="63">
        <f>1+3+1+1+3+1+7+7+5+3</f>
        <v>32</v>
      </c>
      <c r="L13" s="60">
        <v>0</v>
      </c>
      <c r="M13" s="12">
        <v>42.5</v>
      </c>
      <c r="N13" s="83">
        <f t="shared" si="2"/>
        <v>32</v>
      </c>
      <c r="O13" s="89">
        <f t="shared" si="3"/>
        <v>97.7</v>
      </c>
      <c r="P13" s="20">
        <v>8</v>
      </c>
    </row>
    <row r="14" spans="1:16" ht="13.5" customHeight="1">
      <c r="A14" s="70">
        <v>1</v>
      </c>
      <c r="B14" s="68" t="s">
        <v>161</v>
      </c>
      <c r="C14" s="69" t="s">
        <v>165</v>
      </c>
      <c r="D14" s="68">
        <v>5</v>
      </c>
      <c r="E14" s="73">
        <v>51.4</v>
      </c>
      <c r="F14" s="73">
        <f t="shared" si="4"/>
        <v>10.399999999999999</v>
      </c>
      <c r="G14" s="73">
        <f t="shared" si="0"/>
        <v>15.399999999999999</v>
      </c>
      <c r="H14" s="79">
        <v>9</v>
      </c>
      <c r="I14" s="79">
        <v>6</v>
      </c>
      <c r="J14" s="83">
        <f t="shared" si="1"/>
        <v>63.6</v>
      </c>
      <c r="K14" s="63">
        <f>1+3+5+7+5+1+3+1</f>
        <v>26</v>
      </c>
      <c r="L14" s="60">
        <v>0</v>
      </c>
      <c r="M14" s="12">
        <v>40.8</v>
      </c>
      <c r="N14" s="83">
        <f t="shared" si="2"/>
        <v>26</v>
      </c>
      <c r="O14" s="89">
        <f>J14+N14</f>
        <v>89.6</v>
      </c>
      <c r="P14" s="20">
        <v>9</v>
      </c>
    </row>
    <row r="15" spans="1:16" ht="13.5" customHeight="1">
      <c r="A15" s="70">
        <v>11</v>
      </c>
      <c r="B15" s="76" t="s">
        <v>30</v>
      </c>
      <c r="C15" s="139" t="s">
        <v>95</v>
      </c>
      <c r="D15" s="68">
        <v>15</v>
      </c>
      <c r="E15" s="73">
        <v>53.2</v>
      </c>
      <c r="F15" s="73">
        <f t="shared" si="4"/>
        <v>12.200000000000003</v>
      </c>
      <c r="G15" s="73">
        <f t="shared" si="0"/>
        <v>27.200000000000003</v>
      </c>
      <c r="H15" s="79">
        <v>10</v>
      </c>
      <c r="I15" s="79">
        <v>7</v>
      </c>
      <c r="J15" s="83">
        <f t="shared" si="1"/>
        <v>51.8</v>
      </c>
      <c r="K15" s="63">
        <f>5+7+1+1+5+3+1+1+5+1+1</f>
        <v>31</v>
      </c>
      <c r="L15" s="60">
        <v>0</v>
      </c>
      <c r="M15" s="12">
        <v>42.5</v>
      </c>
      <c r="N15" s="83">
        <f t="shared" si="2"/>
        <v>31</v>
      </c>
      <c r="O15" s="89">
        <f>N15+J15</f>
        <v>82.8</v>
      </c>
      <c r="P15" s="20">
        <v>10</v>
      </c>
    </row>
    <row r="16" spans="1:16" ht="13.5" customHeight="1">
      <c r="A16" s="70">
        <v>10</v>
      </c>
      <c r="B16" s="74" t="s">
        <v>28</v>
      </c>
      <c r="C16" s="75" t="s">
        <v>176</v>
      </c>
      <c r="D16" s="68"/>
      <c r="E16" s="79" t="s">
        <v>228</v>
      </c>
      <c r="F16" s="73"/>
      <c r="G16" s="73">
        <v>120</v>
      </c>
      <c r="H16" s="79" t="s">
        <v>229</v>
      </c>
      <c r="I16" s="79" t="s">
        <v>229</v>
      </c>
      <c r="J16" s="83">
        <f>120-120</f>
        <v>0</v>
      </c>
      <c r="K16" s="63">
        <f>1+5+1+7+7+1+5+3+3</f>
        <v>33</v>
      </c>
      <c r="L16" s="60">
        <v>8</v>
      </c>
      <c r="M16" s="91">
        <v>39</v>
      </c>
      <c r="N16" s="83">
        <f t="shared" si="2"/>
        <v>41</v>
      </c>
      <c r="O16" s="89">
        <f>N16+J16</f>
        <v>41</v>
      </c>
      <c r="P16" s="20">
        <v>11</v>
      </c>
    </row>
    <row r="17" spans="1:16" ht="13.5" customHeight="1">
      <c r="A17" s="70">
        <v>2</v>
      </c>
      <c r="B17" s="137" t="s">
        <v>158</v>
      </c>
      <c r="C17" s="138" t="s">
        <v>159</v>
      </c>
      <c r="D17" s="68"/>
      <c r="E17" s="79" t="s">
        <v>228</v>
      </c>
      <c r="F17" s="73"/>
      <c r="G17" s="73">
        <v>120</v>
      </c>
      <c r="H17" s="79" t="s">
        <v>229</v>
      </c>
      <c r="I17" s="79" t="s">
        <v>229</v>
      </c>
      <c r="J17" s="83">
        <f>120-120</f>
        <v>0</v>
      </c>
      <c r="K17" s="141">
        <v>0</v>
      </c>
      <c r="L17" s="126">
        <v>0</v>
      </c>
      <c r="M17" s="13">
        <v>0</v>
      </c>
      <c r="N17" s="83">
        <f t="shared" si="2"/>
        <v>0</v>
      </c>
      <c r="O17" s="89">
        <f>N17+J17</f>
        <v>0</v>
      </c>
      <c r="P17" s="20" t="s">
        <v>229</v>
      </c>
    </row>
    <row r="18" spans="1:16" ht="13.5" customHeight="1">
      <c r="A18" s="40">
        <v>12</v>
      </c>
      <c r="B18" s="44" t="s">
        <v>46</v>
      </c>
      <c r="C18" s="132" t="s">
        <v>48</v>
      </c>
      <c r="D18" s="31"/>
      <c r="E18" s="80" t="s">
        <v>228</v>
      </c>
      <c r="F18" s="25"/>
      <c r="G18" s="25">
        <v>120</v>
      </c>
      <c r="H18" s="80" t="s">
        <v>229</v>
      </c>
      <c r="I18" s="80"/>
      <c r="J18" s="83">
        <f>120-120</f>
        <v>0</v>
      </c>
      <c r="K18" s="11"/>
      <c r="L18" s="60" t="s">
        <v>239</v>
      </c>
      <c r="M18" s="60"/>
      <c r="N18" s="83">
        <v>0</v>
      </c>
      <c r="O18" s="89">
        <f>N18+J18</f>
        <v>0</v>
      </c>
      <c r="P18" s="20" t="s">
        <v>229</v>
      </c>
    </row>
    <row r="19" spans="1:16" ht="13.5" customHeight="1">
      <c r="A19" s="143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5"/>
      <c r="P19" s="145"/>
    </row>
    <row r="20" spans="1:16" ht="13.5" customHeight="1">
      <c r="A20" s="148"/>
      <c r="B20" s="146"/>
      <c r="C20" s="147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55"/>
      <c r="P20" s="55"/>
    </row>
    <row r="21" spans="1:16" ht="13.5" customHeight="1">
      <c r="A21" s="148"/>
      <c r="B21" s="146"/>
      <c r="C21" s="147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55"/>
      <c r="P21" s="55"/>
    </row>
    <row r="22" spans="1:16" ht="13.5" customHeight="1">
      <c r="A22" s="148"/>
      <c r="B22" s="146"/>
      <c r="C22" s="147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55"/>
      <c r="P22" s="55"/>
    </row>
    <row r="23" spans="1:16" ht="13.5" customHeight="1">
      <c r="A23" s="148"/>
      <c r="B23" s="146"/>
      <c r="C23" s="147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55"/>
      <c r="P23" s="55"/>
    </row>
    <row r="24" spans="1:16" ht="13.5" customHeight="1">
      <c r="A24" s="148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55"/>
      <c r="P24" s="55"/>
    </row>
    <row r="25" spans="1:16" ht="13.5" customHeight="1">
      <c r="A25" s="148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55"/>
      <c r="P25" s="55"/>
    </row>
    <row r="26" spans="1:16" ht="13.5" customHeight="1">
      <c r="A26" s="148"/>
      <c r="B26" s="146"/>
      <c r="C26" s="146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55"/>
      <c r="P26" s="55"/>
    </row>
    <row r="27" spans="1:16" ht="13.5" customHeight="1">
      <c r="A27" s="148"/>
      <c r="B27" s="146"/>
      <c r="C27" s="147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55"/>
      <c r="P27" s="55"/>
    </row>
    <row r="28" spans="1:16" ht="13.5" customHeight="1">
      <c r="A28" s="148"/>
      <c r="B28" s="146"/>
      <c r="C28" s="147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55"/>
      <c r="P28" s="55"/>
    </row>
    <row r="29" spans="1:16" ht="13.5" customHeight="1">
      <c r="A29" s="148"/>
      <c r="B29" s="146"/>
      <c r="C29" s="147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55"/>
      <c r="P29" s="55"/>
    </row>
    <row r="30" spans="1:16" ht="13.5" customHeight="1">
      <c r="A30" s="148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55"/>
      <c r="P30" s="55"/>
    </row>
    <row r="31" spans="1:16" ht="13.5" customHeight="1">
      <c r="A31" s="148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55"/>
      <c r="P31" s="55"/>
    </row>
    <row r="32" spans="1:16" ht="13.5" customHeight="1">
      <c r="A32" s="148"/>
      <c r="B32" s="146"/>
      <c r="C32" s="146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55"/>
      <c r="P32" s="55"/>
    </row>
    <row r="33" spans="1:16" ht="13.5" customHeight="1">
      <c r="A33" s="148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55"/>
      <c r="P33" s="55"/>
    </row>
    <row r="34" spans="1:16" ht="13.5" customHeight="1">
      <c r="A34" s="148"/>
      <c r="B34" s="146"/>
      <c r="C34" s="147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55"/>
      <c r="P34" s="55"/>
    </row>
    <row r="35" spans="1:16" ht="13.5" customHeight="1">
      <c r="A35" s="148"/>
      <c r="B35" s="146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55"/>
      <c r="P35" s="55"/>
    </row>
    <row r="36" spans="1:16" ht="13.5" customHeight="1">
      <c r="A36" s="148"/>
      <c r="B36" s="146"/>
      <c r="C36" s="147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55"/>
      <c r="P36" s="55"/>
    </row>
    <row r="37" spans="1:16" ht="13.5" customHeight="1">
      <c r="A37" s="148"/>
      <c r="B37" s="146"/>
      <c r="C37" s="147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55"/>
      <c r="P37" s="55"/>
    </row>
    <row r="38" spans="1:16" ht="13.5" customHeight="1">
      <c r="A38" s="148"/>
      <c r="B38" s="146"/>
      <c r="C38" s="147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55"/>
      <c r="P38" s="55"/>
    </row>
    <row r="39" spans="1:16" ht="13.5" customHeight="1">
      <c r="A39" s="148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55"/>
      <c r="P39" s="55"/>
    </row>
    <row r="40" spans="1:16" ht="13.5" customHeight="1">
      <c r="A40" s="148"/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55"/>
      <c r="P40" s="55"/>
    </row>
    <row r="41" spans="1:16" ht="13.5" customHeight="1">
      <c r="A41" s="148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55"/>
      <c r="P41" s="55"/>
    </row>
    <row r="42" spans="1:16" ht="13.5" customHeight="1">
      <c r="A42" s="55"/>
      <c r="B42" s="55"/>
      <c r="C42" s="55"/>
      <c r="D42" s="55"/>
      <c r="E42" s="55"/>
      <c r="F42" s="55"/>
      <c r="G42" s="55"/>
      <c r="H42" s="148"/>
      <c r="I42" s="55"/>
      <c r="J42" s="148"/>
      <c r="K42" s="148"/>
      <c r="L42" s="148"/>
      <c r="M42" s="148"/>
      <c r="N42" s="148"/>
      <c r="O42" s="55"/>
      <c r="P42" s="55"/>
    </row>
    <row r="43" spans="1:16" ht="13.5" customHeight="1">
      <c r="A43" s="55"/>
      <c r="B43" s="55"/>
      <c r="C43" s="55"/>
      <c r="D43" s="55"/>
      <c r="E43" s="55"/>
      <c r="F43" s="55"/>
      <c r="G43" s="55"/>
      <c r="H43" s="148"/>
      <c r="I43" s="55"/>
      <c r="J43" s="148"/>
      <c r="K43" s="148"/>
      <c r="L43" s="148"/>
      <c r="M43" s="148"/>
      <c r="N43" s="148"/>
      <c r="O43" s="55"/>
      <c r="P43" s="55"/>
    </row>
    <row r="44" spans="1:16" ht="13.5" customHeight="1">
      <c r="A44" s="55"/>
      <c r="B44" s="55"/>
      <c r="C44" s="55"/>
      <c r="D44" s="55"/>
      <c r="E44" s="55"/>
      <c r="F44" s="55"/>
      <c r="G44" s="55"/>
      <c r="H44" s="148"/>
      <c r="I44" s="55"/>
      <c r="J44" s="148"/>
      <c r="K44" s="148"/>
      <c r="L44" s="148"/>
      <c r="M44" s="148"/>
      <c r="N44" s="148"/>
      <c r="O44" s="55"/>
      <c r="P44" s="55"/>
    </row>
    <row r="45" spans="1:16" ht="13.5" customHeight="1">
      <c r="A45" s="55"/>
      <c r="B45" s="55"/>
      <c r="C45" s="55"/>
      <c r="D45" s="55"/>
      <c r="E45" s="55"/>
      <c r="F45" s="55"/>
      <c r="G45" s="55"/>
      <c r="H45" s="148"/>
      <c r="I45" s="55"/>
      <c r="J45" s="148"/>
      <c r="K45" s="148"/>
      <c r="L45" s="148"/>
      <c r="M45" s="148"/>
      <c r="N45" s="148"/>
      <c r="O45" s="55"/>
      <c r="P45" s="55"/>
    </row>
  </sheetData>
  <mergeCells count="10">
    <mergeCell ref="I1:K1"/>
    <mergeCell ref="A1:E1"/>
    <mergeCell ref="K4:N4"/>
    <mergeCell ref="C4:C5"/>
    <mergeCell ref="B4:B5"/>
    <mergeCell ref="L1:P1"/>
    <mergeCell ref="O4:O5"/>
    <mergeCell ref="P4:P5"/>
    <mergeCell ref="A2:C3"/>
    <mergeCell ref="D4:J4"/>
  </mergeCells>
  <printOptions/>
  <pageMargins left="0.3937007874015748" right="0.3937007874015748" top="0.1968503937007874" bottom="0.1968503937007874" header="0" footer="0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5"/>
  <sheetViews>
    <sheetView zoomScale="87" zoomScaleNormal="87" zoomScaleSheetLayoutView="75" workbookViewId="0" topLeftCell="A13">
      <selection activeCell="P44" sqref="P44"/>
    </sheetView>
  </sheetViews>
  <sheetFormatPr defaultColWidth="9.00390625" defaultRowHeight="12.75"/>
  <cols>
    <col min="1" max="1" width="3.25390625" style="0" customWidth="1"/>
    <col min="2" max="2" width="19.75390625" style="0" customWidth="1"/>
    <col min="3" max="3" width="17.75390625" style="0" customWidth="1"/>
    <col min="4" max="4" width="8.875" style="0" customWidth="1"/>
    <col min="5" max="5" width="7.75390625" style="0" customWidth="1"/>
    <col min="6" max="6" width="8.375" style="0" customWidth="1"/>
    <col min="7" max="8" width="6.75390625" style="0" customWidth="1"/>
    <col min="9" max="9" width="8.375" style="0" customWidth="1"/>
    <col min="10" max="10" width="8.75390625" style="0" customWidth="1"/>
    <col min="11" max="11" width="16.75390625" style="0" customWidth="1"/>
    <col min="12" max="12" width="12.75390625" style="0" customWidth="1"/>
    <col min="13" max="15" width="8.75390625" style="0" customWidth="1"/>
    <col min="16" max="16" width="7.75390625" style="0" customWidth="1"/>
  </cols>
  <sheetData>
    <row r="1" spans="1:16" ht="16.5" customHeight="1" thickBot="1">
      <c r="A1" s="181" t="s">
        <v>144</v>
      </c>
      <c r="B1" s="181"/>
      <c r="C1" s="181"/>
      <c r="D1" s="181"/>
      <c r="E1" s="181"/>
      <c r="F1" s="2"/>
      <c r="G1" s="2"/>
      <c r="H1" s="2" t="s">
        <v>0</v>
      </c>
      <c r="I1" s="180" t="s">
        <v>242</v>
      </c>
      <c r="J1" s="180"/>
      <c r="K1" s="180"/>
      <c r="L1" s="188" t="s">
        <v>223</v>
      </c>
      <c r="M1" s="188"/>
      <c r="N1" s="188"/>
      <c r="O1" s="188"/>
      <c r="P1" s="188"/>
    </row>
    <row r="2" spans="1:12" ht="12" customHeight="1">
      <c r="A2" s="188" t="s">
        <v>128</v>
      </c>
      <c r="B2" s="188"/>
      <c r="C2" s="188"/>
      <c r="D2" s="18" t="s">
        <v>145</v>
      </c>
      <c r="E2" s="34" t="s">
        <v>235</v>
      </c>
      <c r="F2" s="19" t="s">
        <v>85</v>
      </c>
      <c r="G2" s="10">
        <v>41</v>
      </c>
      <c r="K2" s="18" t="s">
        <v>13</v>
      </c>
      <c r="L2" s="32" t="s">
        <v>236</v>
      </c>
    </row>
    <row r="3" spans="1:12" ht="12" customHeight="1" thickBot="1">
      <c r="A3" s="193"/>
      <c r="B3" s="193"/>
      <c r="C3" s="193"/>
      <c r="D3" s="21" t="s">
        <v>146</v>
      </c>
      <c r="E3" s="35" t="s">
        <v>225</v>
      </c>
      <c r="F3" s="22" t="s">
        <v>86</v>
      </c>
      <c r="G3" s="16">
        <v>82</v>
      </c>
      <c r="K3" s="21" t="s">
        <v>14</v>
      </c>
      <c r="L3" s="33" t="s">
        <v>227</v>
      </c>
    </row>
    <row r="4" spans="1:16" ht="13.5" customHeight="1" thickBot="1">
      <c r="A4" s="3" t="s">
        <v>1</v>
      </c>
      <c r="B4" s="186" t="s">
        <v>2</v>
      </c>
      <c r="C4" s="171" t="s">
        <v>3</v>
      </c>
      <c r="D4" s="176" t="s">
        <v>4</v>
      </c>
      <c r="E4" s="184"/>
      <c r="F4" s="184"/>
      <c r="G4" s="184"/>
      <c r="H4" s="184"/>
      <c r="I4" s="184"/>
      <c r="J4" s="185"/>
      <c r="K4" s="176" t="s">
        <v>5</v>
      </c>
      <c r="L4" s="184"/>
      <c r="M4" s="184"/>
      <c r="N4" s="185"/>
      <c r="O4" s="189" t="s">
        <v>6</v>
      </c>
      <c r="P4" s="191" t="s">
        <v>7</v>
      </c>
    </row>
    <row r="5" spans="1:16" ht="35.25" customHeight="1" thickBot="1">
      <c r="A5" s="5" t="s">
        <v>8</v>
      </c>
      <c r="B5" s="173"/>
      <c r="C5" s="172"/>
      <c r="D5" s="4" t="s">
        <v>9</v>
      </c>
      <c r="E5" s="4" t="s">
        <v>10</v>
      </c>
      <c r="F5" s="4" t="s">
        <v>11</v>
      </c>
      <c r="G5" s="4" t="s">
        <v>12</v>
      </c>
      <c r="H5" s="103" t="s">
        <v>139</v>
      </c>
      <c r="I5" s="104" t="s">
        <v>141</v>
      </c>
      <c r="J5" s="105" t="s">
        <v>140</v>
      </c>
      <c r="K5" s="7" t="s">
        <v>13</v>
      </c>
      <c r="L5" s="7" t="s">
        <v>14</v>
      </c>
      <c r="M5" s="7" t="s">
        <v>10</v>
      </c>
      <c r="N5" s="29" t="s">
        <v>15</v>
      </c>
      <c r="O5" s="190"/>
      <c r="P5" s="192"/>
    </row>
    <row r="6" spans="1:19" ht="13.5" customHeight="1">
      <c r="A6" s="38">
        <v>17</v>
      </c>
      <c r="B6" s="42" t="s">
        <v>20</v>
      </c>
      <c r="C6" s="136" t="s">
        <v>45</v>
      </c>
      <c r="D6" s="8">
        <v>0</v>
      </c>
      <c r="E6" s="9">
        <v>32.4</v>
      </c>
      <c r="F6" s="9">
        <v>0</v>
      </c>
      <c r="G6" s="9">
        <f aca="true" t="shared" si="0" ref="G6:G27">D6+F6</f>
        <v>0</v>
      </c>
      <c r="H6" s="110">
        <v>1</v>
      </c>
      <c r="I6" s="19"/>
      <c r="J6" s="82">
        <f aca="true" t="shared" si="1" ref="J6:J27">120-D6-E6</f>
        <v>87.6</v>
      </c>
      <c r="K6" s="112">
        <f>5+7+7+5+1+3+5+1+5+3+1</f>
        <v>43</v>
      </c>
      <c r="L6" s="19">
        <v>16</v>
      </c>
      <c r="M6" s="9">
        <v>39.5</v>
      </c>
      <c r="N6" s="82">
        <f aca="true" t="shared" si="2" ref="N6:N41">K6+L6</f>
        <v>59</v>
      </c>
      <c r="O6" s="116">
        <f aca="true" t="shared" si="3" ref="O6:O45">J6+N6</f>
        <v>146.6</v>
      </c>
      <c r="P6" s="113">
        <v>1</v>
      </c>
      <c r="Q6" s="36"/>
      <c r="R6" s="56"/>
      <c r="S6" s="118"/>
    </row>
    <row r="7" spans="1:19" ht="13.5" customHeight="1">
      <c r="A7" s="39">
        <v>1</v>
      </c>
      <c r="B7" s="43" t="s">
        <v>53</v>
      </c>
      <c r="C7" s="135" t="s">
        <v>55</v>
      </c>
      <c r="D7" s="11">
        <v>0</v>
      </c>
      <c r="E7" s="12">
        <v>33.2</v>
      </c>
      <c r="F7" s="12">
        <v>0</v>
      </c>
      <c r="G7" s="12">
        <f t="shared" si="0"/>
        <v>0</v>
      </c>
      <c r="H7" s="87">
        <v>2</v>
      </c>
      <c r="I7" s="60"/>
      <c r="J7" s="83">
        <f t="shared" si="1"/>
        <v>86.8</v>
      </c>
      <c r="K7" s="92">
        <f>3+3+1+5+5+3+1+5+7+7</f>
        <v>40</v>
      </c>
      <c r="L7" s="60">
        <v>16</v>
      </c>
      <c r="M7" s="12">
        <v>42.1</v>
      </c>
      <c r="N7" s="83">
        <f t="shared" si="2"/>
        <v>56</v>
      </c>
      <c r="O7" s="115">
        <f t="shared" si="3"/>
        <v>142.8</v>
      </c>
      <c r="P7" s="114">
        <v>2</v>
      </c>
      <c r="Q7" s="36"/>
      <c r="R7" s="56"/>
      <c r="S7" s="118"/>
    </row>
    <row r="8" spans="1:19" ht="13.5" customHeight="1">
      <c r="A8" s="39">
        <v>27</v>
      </c>
      <c r="B8" s="43" t="s">
        <v>25</v>
      </c>
      <c r="C8" s="98" t="s">
        <v>27</v>
      </c>
      <c r="D8" s="11">
        <v>0</v>
      </c>
      <c r="E8" s="12">
        <v>34.3</v>
      </c>
      <c r="F8" s="12">
        <v>0</v>
      </c>
      <c r="G8" s="12">
        <f t="shared" si="0"/>
        <v>0</v>
      </c>
      <c r="H8" s="80">
        <v>4</v>
      </c>
      <c r="I8" s="60"/>
      <c r="J8" s="83">
        <f t="shared" si="1"/>
        <v>85.7</v>
      </c>
      <c r="K8" s="92">
        <f>5+7+7+5+1+3+5+5+3</f>
        <v>41</v>
      </c>
      <c r="L8" s="60">
        <v>16</v>
      </c>
      <c r="M8" s="12">
        <v>40.2</v>
      </c>
      <c r="N8" s="83">
        <f t="shared" si="2"/>
        <v>57</v>
      </c>
      <c r="O8" s="115">
        <f t="shared" si="3"/>
        <v>142.7</v>
      </c>
      <c r="P8" s="114">
        <v>3</v>
      </c>
      <c r="Q8" s="36"/>
      <c r="R8" s="56"/>
      <c r="S8" s="118"/>
    </row>
    <row r="9" spans="1:19" ht="13.5" customHeight="1">
      <c r="A9" s="39">
        <v>10</v>
      </c>
      <c r="B9" s="43" t="s">
        <v>133</v>
      </c>
      <c r="C9" s="99" t="s">
        <v>134</v>
      </c>
      <c r="D9" s="11">
        <v>0</v>
      </c>
      <c r="E9" s="12">
        <v>36.7</v>
      </c>
      <c r="F9" s="12">
        <v>0</v>
      </c>
      <c r="G9" s="12">
        <f t="shared" si="0"/>
        <v>0</v>
      </c>
      <c r="H9" s="80">
        <v>6</v>
      </c>
      <c r="I9" s="60"/>
      <c r="J9" s="83">
        <f t="shared" si="1"/>
        <v>83.3</v>
      </c>
      <c r="K9" s="92">
        <f>5+7+7+5+1+3+5+5+3</f>
        <v>41</v>
      </c>
      <c r="L9" s="60">
        <v>16</v>
      </c>
      <c r="M9" s="12">
        <v>37.9</v>
      </c>
      <c r="N9" s="83">
        <f t="shared" si="2"/>
        <v>57</v>
      </c>
      <c r="O9" s="115">
        <f t="shared" si="3"/>
        <v>140.3</v>
      </c>
      <c r="P9" s="65">
        <v>4</v>
      </c>
      <c r="Q9" s="36"/>
      <c r="R9" s="56"/>
      <c r="S9" s="118"/>
    </row>
    <row r="10" spans="1:19" ht="13.5" customHeight="1">
      <c r="A10" s="39">
        <v>8</v>
      </c>
      <c r="B10" s="43" t="s">
        <v>53</v>
      </c>
      <c r="C10" s="98" t="s">
        <v>109</v>
      </c>
      <c r="D10" s="11">
        <v>0</v>
      </c>
      <c r="E10" s="91">
        <v>34</v>
      </c>
      <c r="F10" s="12">
        <v>0</v>
      </c>
      <c r="G10" s="12">
        <f t="shared" si="0"/>
        <v>0</v>
      </c>
      <c r="H10" s="87">
        <v>3</v>
      </c>
      <c r="I10" s="60"/>
      <c r="J10" s="84">
        <f t="shared" si="1"/>
        <v>86</v>
      </c>
      <c r="K10" s="92">
        <f>3+1+5+1+3+1+5+5+7+7+5</f>
        <v>43</v>
      </c>
      <c r="L10" s="60">
        <v>8</v>
      </c>
      <c r="M10" s="12">
        <v>40.4</v>
      </c>
      <c r="N10" s="83">
        <f t="shared" si="2"/>
        <v>51</v>
      </c>
      <c r="O10" s="115">
        <f t="shared" si="3"/>
        <v>137</v>
      </c>
      <c r="P10" s="65">
        <v>5</v>
      </c>
      <c r="Q10" s="36"/>
      <c r="R10" s="56"/>
      <c r="S10" s="118"/>
    </row>
    <row r="11" spans="1:19" ht="13.5" customHeight="1">
      <c r="A11" s="70">
        <v>19</v>
      </c>
      <c r="B11" s="68" t="s">
        <v>18</v>
      </c>
      <c r="C11" s="95" t="s">
        <v>76</v>
      </c>
      <c r="D11" s="68">
        <v>0</v>
      </c>
      <c r="E11" s="73">
        <v>39.8</v>
      </c>
      <c r="F11" s="73">
        <v>0</v>
      </c>
      <c r="G11" s="73">
        <f t="shared" si="0"/>
        <v>0</v>
      </c>
      <c r="H11" s="79">
        <v>9</v>
      </c>
      <c r="I11" s="85">
        <v>1</v>
      </c>
      <c r="J11" s="83">
        <f t="shared" si="1"/>
        <v>80.2</v>
      </c>
      <c r="K11" s="92">
        <f>1+3+5+1+7+7+1+1+5+3</f>
        <v>34</v>
      </c>
      <c r="L11" s="60">
        <v>16</v>
      </c>
      <c r="M11" s="12">
        <v>38.7</v>
      </c>
      <c r="N11" s="83">
        <f t="shared" si="2"/>
        <v>50</v>
      </c>
      <c r="O11" s="115">
        <f t="shared" si="3"/>
        <v>130.2</v>
      </c>
      <c r="P11" s="65">
        <v>6</v>
      </c>
      <c r="Q11" s="36"/>
      <c r="R11" s="56"/>
      <c r="S11" s="118"/>
    </row>
    <row r="12" spans="1:19" ht="13.5" customHeight="1">
      <c r="A12" s="39">
        <v>13</v>
      </c>
      <c r="B12" s="11" t="s">
        <v>25</v>
      </c>
      <c r="C12" s="94" t="s">
        <v>26</v>
      </c>
      <c r="D12" s="11">
        <v>0</v>
      </c>
      <c r="E12" s="12">
        <v>38.8</v>
      </c>
      <c r="F12" s="12">
        <v>0</v>
      </c>
      <c r="G12" s="12">
        <f t="shared" si="0"/>
        <v>0</v>
      </c>
      <c r="H12" s="111" t="s">
        <v>238</v>
      </c>
      <c r="I12" s="60"/>
      <c r="J12" s="83">
        <f t="shared" si="1"/>
        <v>81.2</v>
      </c>
      <c r="K12" s="92">
        <f>1+5+1+7+5+7+1+5</f>
        <v>32</v>
      </c>
      <c r="L12" s="60">
        <v>16</v>
      </c>
      <c r="M12" s="12">
        <v>40.4</v>
      </c>
      <c r="N12" s="83">
        <f t="shared" si="2"/>
        <v>48</v>
      </c>
      <c r="O12" s="115">
        <f t="shared" si="3"/>
        <v>129.2</v>
      </c>
      <c r="P12" s="65">
        <v>7</v>
      </c>
      <c r="Q12" s="36"/>
      <c r="R12" s="56"/>
      <c r="S12" s="118"/>
    </row>
    <row r="13" spans="1:19" ht="13.5" customHeight="1">
      <c r="A13" s="39">
        <v>7</v>
      </c>
      <c r="B13" s="11" t="s">
        <v>56</v>
      </c>
      <c r="C13" s="94" t="s">
        <v>57</v>
      </c>
      <c r="D13" s="11">
        <v>15</v>
      </c>
      <c r="E13" s="12">
        <v>33.5</v>
      </c>
      <c r="F13" s="12">
        <v>0</v>
      </c>
      <c r="G13" s="12">
        <f t="shared" si="0"/>
        <v>15</v>
      </c>
      <c r="H13" s="80">
        <v>19</v>
      </c>
      <c r="I13" s="60"/>
      <c r="J13" s="83">
        <f t="shared" si="1"/>
        <v>71.5</v>
      </c>
      <c r="K13" s="92">
        <f>3+3+1+5+7+7+5+1+3+5</f>
        <v>40</v>
      </c>
      <c r="L13" s="60">
        <v>16</v>
      </c>
      <c r="M13" s="12">
        <v>37.5</v>
      </c>
      <c r="N13" s="83">
        <f t="shared" si="2"/>
        <v>56</v>
      </c>
      <c r="O13" s="115">
        <f t="shared" si="3"/>
        <v>127.5</v>
      </c>
      <c r="P13" s="65">
        <v>8</v>
      </c>
      <c r="Q13" s="36"/>
      <c r="R13" s="56"/>
      <c r="S13" s="118"/>
    </row>
    <row r="14" spans="1:19" ht="13.5" customHeight="1">
      <c r="A14" s="39">
        <v>12</v>
      </c>
      <c r="B14" s="43" t="s">
        <v>60</v>
      </c>
      <c r="C14" s="99" t="s">
        <v>61</v>
      </c>
      <c r="D14" s="11">
        <v>0</v>
      </c>
      <c r="E14" s="12">
        <v>36.4</v>
      </c>
      <c r="F14" s="12">
        <v>0</v>
      </c>
      <c r="G14" s="12">
        <f t="shared" si="0"/>
        <v>0</v>
      </c>
      <c r="H14" s="80">
        <v>5</v>
      </c>
      <c r="I14" s="60"/>
      <c r="J14" s="83">
        <f t="shared" si="1"/>
        <v>83.6</v>
      </c>
      <c r="K14" s="92">
        <f>5+7+7+5+3+5+5+3</f>
        <v>40</v>
      </c>
      <c r="L14" s="60">
        <v>0</v>
      </c>
      <c r="M14" s="12">
        <v>40.7</v>
      </c>
      <c r="N14" s="83">
        <f t="shared" si="2"/>
        <v>40</v>
      </c>
      <c r="O14" s="115">
        <f t="shared" si="3"/>
        <v>123.6</v>
      </c>
      <c r="P14" s="65">
        <v>9</v>
      </c>
      <c r="Q14" s="36"/>
      <c r="R14" s="56"/>
      <c r="S14" s="118"/>
    </row>
    <row r="15" spans="1:19" ht="13.5" customHeight="1">
      <c r="A15" s="39">
        <v>22</v>
      </c>
      <c r="B15" s="43" t="s">
        <v>133</v>
      </c>
      <c r="C15" s="99" t="s">
        <v>24</v>
      </c>
      <c r="D15" s="11">
        <v>0</v>
      </c>
      <c r="E15" s="12">
        <v>38.8</v>
      </c>
      <c r="F15" s="12">
        <v>0</v>
      </c>
      <c r="G15" s="12">
        <f t="shared" si="0"/>
        <v>0</v>
      </c>
      <c r="H15" s="111" t="s">
        <v>238</v>
      </c>
      <c r="I15" s="60"/>
      <c r="J15" s="83">
        <f t="shared" si="1"/>
        <v>81.2</v>
      </c>
      <c r="K15" s="92">
        <f>5+7+7+5+1+3+5</f>
        <v>33</v>
      </c>
      <c r="L15" s="60">
        <v>8</v>
      </c>
      <c r="M15" s="12">
        <v>38.4</v>
      </c>
      <c r="N15" s="83">
        <f t="shared" si="2"/>
        <v>41</v>
      </c>
      <c r="O15" s="115">
        <f t="shared" si="3"/>
        <v>122.2</v>
      </c>
      <c r="P15" s="65">
        <v>10</v>
      </c>
      <c r="Q15" s="36"/>
      <c r="R15" s="56"/>
      <c r="S15" s="118"/>
    </row>
    <row r="16" spans="1:19" ht="13.5" customHeight="1">
      <c r="A16" s="70">
        <v>4</v>
      </c>
      <c r="B16" s="74" t="s">
        <v>28</v>
      </c>
      <c r="C16" s="96" t="s">
        <v>29</v>
      </c>
      <c r="D16" s="68">
        <v>0</v>
      </c>
      <c r="E16" s="73">
        <v>40.5</v>
      </c>
      <c r="F16" s="73">
        <v>0</v>
      </c>
      <c r="G16" s="73">
        <f t="shared" si="0"/>
        <v>0</v>
      </c>
      <c r="H16" s="79">
        <v>10</v>
      </c>
      <c r="I16" s="85">
        <v>2</v>
      </c>
      <c r="J16" s="83">
        <f t="shared" si="1"/>
        <v>79.5</v>
      </c>
      <c r="K16" s="92">
        <f>1+5+1+7+7+1+5+3+3+1</f>
        <v>34</v>
      </c>
      <c r="L16" s="60">
        <v>8</v>
      </c>
      <c r="M16" s="12">
        <v>39.4</v>
      </c>
      <c r="N16" s="83">
        <f t="shared" si="2"/>
        <v>42</v>
      </c>
      <c r="O16" s="115">
        <f t="shared" si="3"/>
        <v>121.5</v>
      </c>
      <c r="P16" s="65">
        <v>11</v>
      </c>
      <c r="Q16" s="36"/>
      <c r="R16" s="56"/>
      <c r="S16" s="118"/>
    </row>
    <row r="17" spans="1:19" ht="13.5" customHeight="1">
      <c r="A17" s="39">
        <v>6</v>
      </c>
      <c r="B17" s="43" t="s">
        <v>138</v>
      </c>
      <c r="C17" s="98" t="s">
        <v>47</v>
      </c>
      <c r="D17" s="11">
        <v>10</v>
      </c>
      <c r="E17" s="12">
        <v>36.9</v>
      </c>
      <c r="F17" s="12">
        <v>0</v>
      </c>
      <c r="G17" s="12">
        <f t="shared" si="0"/>
        <v>10</v>
      </c>
      <c r="H17" s="80">
        <v>15</v>
      </c>
      <c r="I17" s="60"/>
      <c r="J17" s="83">
        <f t="shared" si="1"/>
        <v>73.1</v>
      </c>
      <c r="K17" s="92">
        <f>3+3+1+5+1+5+7+7</f>
        <v>32</v>
      </c>
      <c r="L17" s="60">
        <v>16</v>
      </c>
      <c r="M17" s="12">
        <v>40.9</v>
      </c>
      <c r="N17" s="83">
        <f t="shared" si="2"/>
        <v>48</v>
      </c>
      <c r="O17" s="115">
        <f t="shared" si="3"/>
        <v>121.1</v>
      </c>
      <c r="P17" s="65">
        <v>12</v>
      </c>
      <c r="Q17" s="36"/>
      <c r="R17" s="56"/>
      <c r="S17" s="118"/>
    </row>
    <row r="18" spans="1:19" ht="13.5" customHeight="1">
      <c r="A18" s="70">
        <v>15</v>
      </c>
      <c r="B18" s="74" t="s">
        <v>70</v>
      </c>
      <c r="C18" s="100" t="s">
        <v>71</v>
      </c>
      <c r="D18" s="68">
        <v>5</v>
      </c>
      <c r="E18" s="73">
        <v>30.8</v>
      </c>
      <c r="F18" s="73">
        <v>0</v>
      </c>
      <c r="G18" s="73">
        <f t="shared" si="0"/>
        <v>5</v>
      </c>
      <c r="H18" s="79">
        <v>11</v>
      </c>
      <c r="I18" s="85">
        <v>3</v>
      </c>
      <c r="J18" s="83">
        <f t="shared" si="1"/>
        <v>84.2</v>
      </c>
      <c r="K18" s="92">
        <f>5+7+1+5+1+3+1+3+5+1</f>
        <v>32</v>
      </c>
      <c r="L18" s="60">
        <v>0</v>
      </c>
      <c r="M18" s="12">
        <v>41.8</v>
      </c>
      <c r="N18" s="83">
        <f t="shared" si="2"/>
        <v>32</v>
      </c>
      <c r="O18" s="115">
        <f t="shared" si="3"/>
        <v>116.2</v>
      </c>
      <c r="P18" s="65">
        <v>13</v>
      </c>
      <c r="Q18" s="36"/>
      <c r="R18" s="56"/>
      <c r="S18" s="118"/>
    </row>
    <row r="19" spans="1:19" ht="13.5" customHeight="1">
      <c r="A19" s="39">
        <v>30</v>
      </c>
      <c r="B19" s="44" t="s">
        <v>207</v>
      </c>
      <c r="C19" s="101" t="s">
        <v>208</v>
      </c>
      <c r="D19" s="11">
        <v>5</v>
      </c>
      <c r="E19" s="12">
        <v>41.3</v>
      </c>
      <c r="F19" s="12">
        <f>E19-41</f>
        <v>0.29999999999999716</v>
      </c>
      <c r="G19" s="12">
        <f t="shared" si="0"/>
        <v>5.299999999999997</v>
      </c>
      <c r="H19" s="80">
        <v>13</v>
      </c>
      <c r="I19" s="60"/>
      <c r="J19" s="83">
        <f t="shared" si="1"/>
        <v>73.7</v>
      </c>
      <c r="K19" s="92">
        <f>5+7+7+5+1+3+5+1+5</f>
        <v>39</v>
      </c>
      <c r="L19" s="60">
        <v>0</v>
      </c>
      <c r="M19" s="12">
        <v>41.8</v>
      </c>
      <c r="N19" s="83">
        <f t="shared" si="2"/>
        <v>39</v>
      </c>
      <c r="O19" s="115">
        <f t="shared" si="3"/>
        <v>112.7</v>
      </c>
      <c r="P19" s="65">
        <v>14</v>
      </c>
      <c r="Q19" s="36"/>
      <c r="R19" s="56"/>
      <c r="S19" s="118"/>
    </row>
    <row r="20" spans="1:19" ht="13.5" customHeight="1">
      <c r="A20" s="70">
        <v>21</v>
      </c>
      <c r="B20" s="74" t="s">
        <v>66</v>
      </c>
      <c r="C20" s="96" t="s">
        <v>69</v>
      </c>
      <c r="D20" s="68">
        <v>10</v>
      </c>
      <c r="E20" s="73">
        <v>35.9</v>
      </c>
      <c r="F20" s="73">
        <v>0</v>
      </c>
      <c r="G20" s="73">
        <f t="shared" si="0"/>
        <v>10</v>
      </c>
      <c r="H20" s="79">
        <v>14</v>
      </c>
      <c r="I20" s="79">
        <v>5</v>
      </c>
      <c r="J20" s="83">
        <f t="shared" si="1"/>
        <v>74.1</v>
      </c>
      <c r="K20" s="92">
        <f>5+7+7+5+1+3+5+5+L254</f>
        <v>38</v>
      </c>
      <c r="L20" s="60">
        <v>0</v>
      </c>
      <c r="M20" s="12">
        <v>43.8</v>
      </c>
      <c r="N20" s="83">
        <f t="shared" si="2"/>
        <v>38</v>
      </c>
      <c r="O20" s="115">
        <f t="shared" si="3"/>
        <v>112.1</v>
      </c>
      <c r="P20" s="65">
        <v>15</v>
      </c>
      <c r="Q20" s="36"/>
      <c r="R20" s="56"/>
      <c r="S20" s="118"/>
    </row>
    <row r="21" spans="1:19" ht="13.5" customHeight="1">
      <c r="A21" s="70">
        <v>14</v>
      </c>
      <c r="B21" s="68" t="s">
        <v>73</v>
      </c>
      <c r="C21" s="95" t="s">
        <v>74</v>
      </c>
      <c r="D21" s="68">
        <v>10</v>
      </c>
      <c r="E21" s="73">
        <v>37.4</v>
      </c>
      <c r="F21" s="73">
        <v>0</v>
      </c>
      <c r="G21" s="73">
        <f t="shared" si="0"/>
        <v>10</v>
      </c>
      <c r="H21" s="79">
        <v>16</v>
      </c>
      <c r="I21" s="79">
        <v>6</v>
      </c>
      <c r="J21" s="83">
        <f t="shared" si="1"/>
        <v>72.6</v>
      </c>
      <c r="K21" s="92">
        <f>1+3+1+5+1+7+5</f>
        <v>23</v>
      </c>
      <c r="L21" s="60">
        <v>16</v>
      </c>
      <c r="M21" s="12">
        <v>41.2</v>
      </c>
      <c r="N21" s="83">
        <f t="shared" si="2"/>
        <v>39</v>
      </c>
      <c r="O21" s="115">
        <f t="shared" si="3"/>
        <v>111.6</v>
      </c>
      <c r="P21" s="65">
        <v>16</v>
      </c>
      <c r="Q21" s="36"/>
      <c r="R21" s="56"/>
      <c r="S21" s="118"/>
    </row>
    <row r="22" spans="1:19" ht="13.5" customHeight="1">
      <c r="A22" s="70">
        <v>25</v>
      </c>
      <c r="B22" s="68" t="s">
        <v>58</v>
      </c>
      <c r="C22" s="95" t="s">
        <v>59</v>
      </c>
      <c r="D22" s="68">
        <v>5</v>
      </c>
      <c r="E22" s="109">
        <v>38</v>
      </c>
      <c r="F22" s="73">
        <v>0</v>
      </c>
      <c r="G22" s="73">
        <f t="shared" si="0"/>
        <v>5</v>
      </c>
      <c r="H22" s="79">
        <v>12</v>
      </c>
      <c r="I22" s="79">
        <v>4</v>
      </c>
      <c r="J22" s="84">
        <f t="shared" si="1"/>
        <v>77</v>
      </c>
      <c r="K22" s="92">
        <f>5+7</f>
        <v>12</v>
      </c>
      <c r="L22" s="60">
        <v>16</v>
      </c>
      <c r="M22" s="12">
        <v>43.3</v>
      </c>
      <c r="N22" s="83">
        <f t="shared" si="2"/>
        <v>28</v>
      </c>
      <c r="O22" s="115">
        <f t="shared" si="3"/>
        <v>105</v>
      </c>
      <c r="P22" s="65">
        <v>17</v>
      </c>
      <c r="Q22" s="36"/>
      <c r="R22" s="56"/>
      <c r="S22" s="118"/>
    </row>
    <row r="23" spans="1:19" ht="13.5" customHeight="1">
      <c r="A23" s="70">
        <v>31</v>
      </c>
      <c r="B23" s="68" t="s">
        <v>163</v>
      </c>
      <c r="C23" s="95" t="s">
        <v>164</v>
      </c>
      <c r="D23" s="68">
        <v>0</v>
      </c>
      <c r="E23" s="73">
        <v>53</v>
      </c>
      <c r="F23" s="73">
        <f>E23-41</f>
        <v>12</v>
      </c>
      <c r="G23" s="73">
        <f t="shared" si="0"/>
        <v>12</v>
      </c>
      <c r="H23" s="79">
        <v>18</v>
      </c>
      <c r="I23" s="79">
        <v>8</v>
      </c>
      <c r="J23" s="84">
        <f t="shared" si="1"/>
        <v>67</v>
      </c>
      <c r="K23" s="92">
        <f>5+7+1+1+5+3+1</f>
        <v>23</v>
      </c>
      <c r="L23" s="60">
        <v>8</v>
      </c>
      <c r="M23" s="12">
        <v>43.6</v>
      </c>
      <c r="N23" s="83">
        <f t="shared" si="2"/>
        <v>31</v>
      </c>
      <c r="O23" s="115">
        <f t="shared" si="3"/>
        <v>98</v>
      </c>
      <c r="P23" s="65">
        <v>18</v>
      </c>
      <c r="Q23" s="36"/>
      <c r="R23" s="56"/>
      <c r="S23" s="118"/>
    </row>
    <row r="24" spans="1:19" ht="13.5" customHeight="1">
      <c r="A24" s="70">
        <v>9</v>
      </c>
      <c r="B24" s="74" t="s">
        <v>170</v>
      </c>
      <c r="C24" s="95" t="s">
        <v>175</v>
      </c>
      <c r="D24" s="68">
        <v>0</v>
      </c>
      <c r="E24" s="73">
        <v>51.6</v>
      </c>
      <c r="F24" s="73">
        <f>E24-41</f>
        <v>10.600000000000001</v>
      </c>
      <c r="G24" s="73">
        <f t="shared" si="0"/>
        <v>10.600000000000001</v>
      </c>
      <c r="H24" s="79">
        <v>17</v>
      </c>
      <c r="I24" s="79">
        <v>7</v>
      </c>
      <c r="J24" s="83">
        <f t="shared" si="1"/>
        <v>68.4</v>
      </c>
      <c r="K24" s="92">
        <f>5+1+7+1+7+1+1+1+3</f>
        <v>27</v>
      </c>
      <c r="L24" s="60">
        <v>0</v>
      </c>
      <c r="M24" s="91">
        <v>54</v>
      </c>
      <c r="N24" s="83">
        <f t="shared" si="2"/>
        <v>27</v>
      </c>
      <c r="O24" s="115">
        <f t="shared" si="3"/>
        <v>95.4</v>
      </c>
      <c r="P24" s="65">
        <v>19</v>
      </c>
      <c r="Q24" s="36"/>
      <c r="R24" s="56"/>
      <c r="S24" s="118"/>
    </row>
    <row r="25" spans="1:19" ht="13.5" customHeight="1">
      <c r="A25" s="39">
        <v>34</v>
      </c>
      <c r="B25" s="11" t="s">
        <v>230</v>
      </c>
      <c r="C25" s="94" t="s">
        <v>83</v>
      </c>
      <c r="D25" s="11">
        <v>10</v>
      </c>
      <c r="E25" s="12">
        <v>55.2</v>
      </c>
      <c r="F25" s="12">
        <f>E25-41</f>
        <v>14.200000000000003</v>
      </c>
      <c r="G25" s="12">
        <f t="shared" si="0"/>
        <v>24.200000000000003</v>
      </c>
      <c r="H25" s="80">
        <v>21</v>
      </c>
      <c r="I25" s="60"/>
      <c r="J25" s="83">
        <f t="shared" si="1"/>
        <v>54.8</v>
      </c>
      <c r="K25" s="92">
        <f>5+7+7+1+3+5+1</f>
        <v>29</v>
      </c>
      <c r="L25" s="60">
        <v>8</v>
      </c>
      <c r="M25" s="12">
        <v>44.4</v>
      </c>
      <c r="N25" s="83">
        <f t="shared" si="2"/>
        <v>37</v>
      </c>
      <c r="O25" s="115">
        <f t="shared" si="3"/>
        <v>91.8</v>
      </c>
      <c r="P25" s="65">
        <v>20</v>
      </c>
      <c r="Q25" s="36"/>
      <c r="R25" s="56"/>
      <c r="S25" s="118"/>
    </row>
    <row r="26" spans="1:19" ht="13.5" customHeight="1">
      <c r="A26" s="70">
        <v>29</v>
      </c>
      <c r="B26" s="74" t="s">
        <v>73</v>
      </c>
      <c r="C26" s="100" t="s">
        <v>75</v>
      </c>
      <c r="D26" s="68">
        <v>15</v>
      </c>
      <c r="E26" s="73">
        <v>59.3</v>
      </c>
      <c r="F26" s="73">
        <f>E26-41</f>
        <v>18.299999999999997</v>
      </c>
      <c r="G26" s="73">
        <f t="shared" si="0"/>
        <v>33.3</v>
      </c>
      <c r="H26" s="79">
        <v>23</v>
      </c>
      <c r="I26" s="79">
        <v>11</v>
      </c>
      <c r="J26" s="83">
        <f t="shared" si="1"/>
        <v>45.7</v>
      </c>
      <c r="K26" s="92">
        <f>1+3+1+5+7+5</f>
        <v>22</v>
      </c>
      <c r="L26" s="60">
        <v>0</v>
      </c>
      <c r="M26" s="12">
        <v>44.7</v>
      </c>
      <c r="N26" s="83">
        <f t="shared" si="2"/>
        <v>22</v>
      </c>
      <c r="O26" s="115">
        <f t="shared" si="3"/>
        <v>67.7</v>
      </c>
      <c r="P26" s="65">
        <v>21</v>
      </c>
      <c r="Q26" s="36"/>
      <c r="R26" s="56"/>
      <c r="S26" s="118"/>
    </row>
    <row r="27" spans="1:19" ht="13.5" customHeight="1">
      <c r="A27" s="70">
        <v>28</v>
      </c>
      <c r="B27" s="74" t="s">
        <v>200</v>
      </c>
      <c r="C27" s="96" t="s">
        <v>202</v>
      </c>
      <c r="D27" s="68">
        <v>10</v>
      </c>
      <c r="E27" s="73">
        <v>63.8</v>
      </c>
      <c r="F27" s="73">
        <f>E27-41</f>
        <v>22.799999999999997</v>
      </c>
      <c r="G27" s="73">
        <f t="shared" si="0"/>
        <v>32.8</v>
      </c>
      <c r="H27" s="79">
        <v>22</v>
      </c>
      <c r="I27" s="79">
        <v>10</v>
      </c>
      <c r="J27" s="83">
        <f t="shared" si="1"/>
        <v>46.2</v>
      </c>
      <c r="K27" s="92">
        <f>3+1+1+5+1+7</f>
        <v>18</v>
      </c>
      <c r="L27" s="60">
        <v>0</v>
      </c>
      <c r="M27" s="91">
        <v>45</v>
      </c>
      <c r="N27" s="83">
        <f t="shared" si="2"/>
        <v>18</v>
      </c>
      <c r="O27" s="115">
        <f t="shared" si="3"/>
        <v>64.2</v>
      </c>
      <c r="P27" s="65">
        <v>22</v>
      </c>
      <c r="Q27" s="36"/>
      <c r="R27" s="56"/>
      <c r="S27" s="118"/>
    </row>
    <row r="28" spans="1:19" ht="13.5" customHeight="1">
      <c r="A28" s="70">
        <v>23</v>
      </c>
      <c r="B28" s="74" t="s">
        <v>198</v>
      </c>
      <c r="C28" s="100" t="s">
        <v>199</v>
      </c>
      <c r="D28" s="68"/>
      <c r="E28" s="79" t="s">
        <v>228</v>
      </c>
      <c r="F28" s="73"/>
      <c r="G28" s="73">
        <v>120</v>
      </c>
      <c r="H28" s="79" t="s">
        <v>229</v>
      </c>
      <c r="I28" s="79" t="s">
        <v>229</v>
      </c>
      <c r="J28" s="83">
        <v>0</v>
      </c>
      <c r="K28" s="92">
        <f>3+3+3+5+1+7+7+1+1+1+3+1</f>
        <v>36</v>
      </c>
      <c r="L28" s="60">
        <v>16</v>
      </c>
      <c r="M28" s="12">
        <v>42.8</v>
      </c>
      <c r="N28" s="83">
        <f t="shared" si="2"/>
        <v>52</v>
      </c>
      <c r="O28" s="115">
        <f t="shared" si="3"/>
        <v>52</v>
      </c>
      <c r="P28" s="65">
        <v>23</v>
      </c>
      <c r="Q28" s="36"/>
      <c r="R28" s="56"/>
      <c r="S28" s="118"/>
    </row>
    <row r="29" spans="1:19" ht="13.5" customHeight="1">
      <c r="A29" s="39">
        <v>16</v>
      </c>
      <c r="B29" s="44" t="s">
        <v>53</v>
      </c>
      <c r="C29" s="101" t="s">
        <v>54</v>
      </c>
      <c r="D29" s="11"/>
      <c r="E29" s="60" t="s">
        <v>228</v>
      </c>
      <c r="F29" s="12"/>
      <c r="G29" s="12">
        <v>120</v>
      </c>
      <c r="H29" s="80" t="s">
        <v>229</v>
      </c>
      <c r="I29" s="60"/>
      <c r="J29" s="83">
        <v>0</v>
      </c>
      <c r="K29" s="92">
        <f>1+3+5+1+7+5+5+7</f>
        <v>34</v>
      </c>
      <c r="L29" s="60">
        <v>16</v>
      </c>
      <c r="M29" s="12">
        <v>43.2</v>
      </c>
      <c r="N29" s="83">
        <f t="shared" si="2"/>
        <v>50</v>
      </c>
      <c r="O29" s="115">
        <f t="shared" si="3"/>
        <v>50</v>
      </c>
      <c r="P29" s="65">
        <v>24</v>
      </c>
      <c r="Q29" s="36"/>
      <c r="R29" s="56"/>
      <c r="S29" s="118"/>
    </row>
    <row r="30" spans="1:19" ht="13.5" customHeight="1">
      <c r="A30" s="39">
        <v>2</v>
      </c>
      <c r="B30" s="11" t="s">
        <v>155</v>
      </c>
      <c r="C30" s="94" t="s">
        <v>156</v>
      </c>
      <c r="D30" s="11"/>
      <c r="E30" s="60" t="s">
        <v>228</v>
      </c>
      <c r="F30" s="12"/>
      <c r="G30" s="12">
        <v>120</v>
      </c>
      <c r="H30" s="80" t="s">
        <v>229</v>
      </c>
      <c r="I30" s="60"/>
      <c r="J30" s="83">
        <f>120-120</f>
        <v>0</v>
      </c>
      <c r="K30" s="92">
        <f>1+1+7+7+1+1+5+5+3</f>
        <v>31</v>
      </c>
      <c r="L30" s="60">
        <v>8</v>
      </c>
      <c r="M30" s="12">
        <v>38.7</v>
      </c>
      <c r="N30" s="83">
        <f t="shared" si="2"/>
        <v>39</v>
      </c>
      <c r="O30" s="115">
        <f t="shared" si="3"/>
        <v>39</v>
      </c>
      <c r="P30" s="65">
        <v>25</v>
      </c>
      <c r="Q30" s="36"/>
      <c r="R30" s="56"/>
      <c r="S30" s="118"/>
    </row>
    <row r="31" spans="1:19" ht="13.5" customHeight="1">
      <c r="A31" s="40">
        <v>18</v>
      </c>
      <c r="B31" s="44" t="s">
        <v>203</v>
      </c>
      <c r="C31" s="101" t="s">
        <v>204</v>
      </c>
      <c r="D31" s="31"/>
      <c r="E31" s="80" t="s">
        <v>228</v>
      </c>
      <c r="F31" s="12"/>
      <c r="G31" s="12">
        <v>120</v>
      </c>
      <c r="H31" s="80" t="s">
        <v>229</v>
      </c>
      <c r="I31" s="80"/>
      <c r="J31" s="83">
        <v>0</v>
      </c>
      <c r="K31" s="92">
        <f>5+7+7+1+3+5+1+5+3</f>
        <v>37</v>
      </c>
      <c r="L31" s="60">
        <v>0</v>
      </c>
      <c r="M31" s="12">
        <v>43.7</v>
      </c>
      <c r="N31" s="83">
        <f t="shared" si="2"/>
        <v>37</v>
      </c>
      <c r="O31" s="115">
        <f t="shared" si="3"/>
        <v>37</v>
      </c>
      <c r="P31" s="65">
        <v>26</v>
      </c>
      <c r="Q31" s="36"/>
      <c r="R31" s="56"/>
      <c r="S31" s="118"/>
    </row>
    <row r="32" spans="1:19" ht="13.5" customHeight="1">
      <c r="A32" s="70">
        <v>35</v>
      </c>
      <c r="B32" s="74" t="s">
        <v>72</v>
      </c>
      <c r="C32" s="96" t="s">
        <v>110</v>
      </c>
      <c r="D32" s="68"/>
      <c r="E32" s="79" t="s">
        <v>228</v>
      </c>
      <c r="F32" s="73"/>
      <c r="G32" s="73">
        <v>120</v>
      </c>
      <c r="H32" s="79" t="s">
        <v>229</v>
      </c>
      <c r="I32" s="79" t="s">
        <v>229</v>
      </c>
      <c r="J32" s="83">
        <v>0</v>
      </c>
      <c r="K32" s="92">
        <f>5+1+1+5+1+3+1+1</f>
        <v>18</v>
      </c>
      <c r="L32" s="60">
        <v>16</v>
      </c>
      <c r="M32" s="12">
        <v>41.7</v>
      </c>
      <c r="N32" s="83">
        <f t="shared" si="2"/>
        <v>34</v>
      </c>
      <c r="O32" s="115">
        <f t="shared" si="3"/>
        <v>34</v>
      </c>
      <c r="P32" s="65">
        <v>27</v>
      </c>
      <c r="Q32" s="36"/>
      <c r="R32" s="56"/>
      <c r="S32" s="118"/>
    </row>
    <row r="33" spans="1:19" ht="13.5" customHeight="1">
      <c r="A33" s="70">
        <v>3</v>
      </c>
      <c r="B33" s="68" t="s">
        <v>200</v>
      </c>
      <c r="C33" s="95" t="s">
        <v>201</v>
      </c>
      <c r="D33" s="68"/>
      <c r="E33" s="79" t="s">
        <v>228</v>
      </c>
      <c r="F33" s="73"/>
      <c r="G33" s="73">
        <v>120</v>
      </c>
      <c r="H33" s="79" t="s">
        <v>229</v>
      </c>
      <c r="I33" s="79" t="s">
        <v>229</v>
      </c>
      <c r="J33" s="83">
        <f>120-120</f>
        <v>0</v>
      </c>
      <c r="K33" s="92">
        <f>3+3+1+5+1+7+7+1+5</f>
        <v>33</v>
      </c>
      <c r="L33" s="60">
        <v>0</v>
      </c>
      <c r="M33" s="91">
        <v>43</v>
      </c>
      <c r="N33" s="83">
        <f t="shared" si="2"/>
        <v>33</v>
      </c>
      <c r="O33" s="115">
        <f t="shared" si="3"/>
        <v>33</v>
      </c>
      <c r="P33" s="65">
        <v>28</v>
      </c>
      <c r="Q33" s="36"/>
      <c r="R33" s="56"/>
      <c r="S33" s="118"/>
    </row>
    <row r="34" spans="1:19" ht="13.5" customHeight="1">
      <c r="A34" s="70">
        <v>26</v>
      </c>
      <c r="B34" s="68" t="s">
        <v>28</v>
      </c>
      <c r="C34" s="95" t="s">
        <v>135</v>
      </c>
      <c r="D34" s="68"/>
      <c r="E34" s="79" t="s">
        <v>228</v>
      </c>
      <c r="F34" s="73"/>
      <c r="G34" s="73">
        <v>120</v>
      </c>
      <c r="H34" s="79" t="s">
        <v>229</v>
      </c>
      <c r="I34" s="79" t="s">
        <v>229</v>
      </c>
      <c r="J34" s="83">
        <v>0</v>
      </c>
      <c r="K34" s="92">
        <f>1+5+1+7+5+5</f>
        <v>24</v>
      </c>
      <c r="L34" s="60">
        <v>8</v>
      </c>
      <c r="M34" s="12">
        <v>44.5</v>
      </c>
      <c r="N34" s="83">
        <f t="shared" si="2"/>
        <v>32</v>
      </c>
      <c r="O34" s="115">
        <f t="shared" si="3"/>
        <v>32</v>
      </c>
      <c r="P34" s="65">
        <v>29</v>
      </c>
      <c r="Q34" s="36"/>
      <c r="R34" s="56"/>
      <c r="S34" s="118"/>
    </row>
    <row r="35" spans="1:19" ht="13.5" customHeight="1">
      <c r="A35" s="39">
        <v>11</v>
      </c>
      <c r="B35" s="43" t="s">
        <v>49</v>
      </c>
      <c r="C35" s="99" t="s">
        <v>50</v>
      </c>
      <c r="D35" s="11"/>
      <c r="E35" s="60" t="s">
        <v>228</v>
      </c>
      <c r="F35" s="12"/>
      <c r="G35" s="12">
        <v>120</v>
      </c>
      <c r="H35" s="80" t="s">
        <v>229</v>
      </c>
      <c r="I35" s="60"/>
      <c r="J35" s="83">
        <v>0</v>
      </c>
      <c r="K35" s="92">
        <f>7+7+5+1+3+5</f>
        <v>28</v>
      </c>
      <c r="L35" s="60">
        <v>0</v>
      </c>
      <c r="M35" s="91">
        <v>43</v>
      </c>
      <c r="N35" s="83">
        <f t="shared" si="2"/>
        <v>28</v>
      </c>
      <c r="O35" s="115">
        <f t="shared" si="3"/>
        <v>28</v>
      </c>
      <c r="P35" s="65">
        <v>30</v>
      </c>
      <c r="Q35" s="36"/>
      <c r="R35" s="56"/>
      <c r="S35" s="118"/>
    </row>
    <row r="36" spans="1:19" ht="13.5" customHeight="1">
      <c r="A36" s="40">
        <v>5</v>
      </c>
      <c r="B36" s="31" t="s">
        <v>205</v>
      </c>
      <c r="C36" s="97" t="s">
        <v>206</v>
      </c>
      <c r="D36" s="31"/>
      <c r="E36" s="80" t="s">
        <v>228</v>
      </c>
      <c r="F36" s="12"/>
      <c r="G36" s="12">
        <v>120</v>
      </c>
      <c r="H36" s="80" t="s">
        <v>229</v>
      </c>
      <c r="I36" s="80"/>
      <c r="J36" s="83">
        <f>120-G36</f>
        <v>0</v>
      </c>
      <c r="K36" s="92">
        <f>1+3+1+5+5+1</f>
        <v>16</v>
      </c>
      <c r="L36" s="60">
        <v>8</v>
      </c>
      <c r="M36" s="12">
        <v>37.4</v>
      </c>
      <c r="N36" s="83">
        <f t="shared" si="2"/>
        <v>24</v>
      </c>
      <c r="O36" s="115">
        <f t="shared" si="3"/>
        <v>24</v>
      </c>
      <c r="P36" s="65">
        <v>31</v>
      </c>
      <c r="Q36" s="36"/>
      <c r="R36" s="56"/>
      <c r="S36" s="118"/>
    </row>
    <row r="37" spans="1:19" ht="13.5" customHeight="1">
      <c r="A37" s="39">
        <v>37</v>
      </c>
      <c r="B37" s="43" t="s">
        <v>56</v>
      </c>
      <c r="C37" s="99" t="s">
        <v>111</v>
      </c>
      <c r="D37" s="11"/>
      <c r="E37" s="60" t="s">
        <v>228</v>
      </c>
      <c r="F37" s="12"/>
      <c r="G37" s="12">
        <v>120</v>
      </c>
      <c r="H37" s="80" t="s">
        <v>229</v>
      </c>
      <c r="I37" s="60"/>
      <c r="J37" s="83">
        <v>0</v>
      </c>
      <c r="K37" s="92">
        <f>3+3+1+1+3+5+7</f>
        <v>23</v>
      </c>
      <c r="L37" s="60">
        <v>0</v>
      </c>
      <c r="M37" s="12">
        <v>47.2</v>
      </c>
      <c r="N37" s="83">
        <f t="shared" si="2"/>
        <v>23</v>
      </c>
      <c r="O37" s="115">
        <f t="shared" si="3"/>
        <v>23</v>
      </c>
      <c r="P37" s="65">
        <v>32</v>
      </c>
      <c r="Q37" s="36"/>
      <c r="R37" s="56"/>
      <c r="S37" s="118"/>
    </row>
    <row r="38" spans="1:19" ht="13.5" customHeight="1">
      <c r="A38" s="39">
        <v>39</v>
      </c>
      <c r="B38" s="11" t="s">
        <v>231</v>
      </c>
      <c r="C38" s="94" t="s">
        <v>232</v>
      </c>
      <c r="D38" s="11"/>
      <c r="E38" s="60" t="s">
        <v>228</v>
      </c>
      <c r="F38" s="12"/>
      <c r="G38" s="12">
        <v>120</v>
      </c>
      <c r="H38" s="80" t="s">
        <v>229</v>
      </c>
      <c r="I38" s="60"/>
      <c r="J38" s="83">
        <v>0</v>
      </c>
      <c r="K38" s="92">
        <f>1+5+7</f>
        <v>13</v>
      </c>
      <c r="L38" s="60">
        <v>8</v>
      </c>
      <c r="M38" s="12">
        <v>43.8</v>
      </c>
      <c r="N38" s="83">
        <f t="shared" si="2"/>
        <v>21</v>
      </c>
      <c r="O38" s="115">
        <f t="shared" si="3"/>
        <v>21</v>
      </c>
      <c r="P38" s="65">
        <v>33</v>
      </c>
      <c r="Q38" s="36"/>
      <c r="R38" s="56"/>
      <c r="S38" s="118"/>
    </row>
    <row r="39" spans="1:19" ht="13.5" customHeight="1">
      <c r="A39" s="39">
        <v>38</v>
      </c>
      <c r="B39" s="43" t="s">
        <v>53</v>
      </c>
      <c r="C39" s="99" t="s">
        <v>114</v>
      </c>
      <c r="D39" s="11"/>
      <c r="E39" s="60" t="s">
        <v>228</v>
      </c>
      <c r="F39" s="12"/>
      <c r="G39" s="12">
        <v>120</v>
      </c>
      <c r="H39" s="80" t="s">
        <v>229</v>
      </c>
      <c r="I39" s="60"/>
      <c r="J39" s="83">
        <v>0</v>
      </c>
      <c r="K39" s="92">
        <f>1+3+1+1+1+1+1+1+1</f>
        <v>11</v>
      </c>
      <c r="L39" s="60">
        <v>8</v>
      </c>
      <c r="M39" s="12">
        <v>41.4</v>
      </c>
      <c r="N39" s="83">
        <f t="shared" si="2"/>
        <v>19</v>
      </c>
      <c r="O39" s="115">
        <f t="shared" si="3"/>
        <v>19</v>
      </c>
      <c r="P39" s="65">
        <v>34</v>
      </c>
      <c r="Q39" s="36"/>
      <c r="R39" s="56"/>
      <c r="S39" s="118"/>
    </row>
    <row r="40" spans="1:19" ht="13.5" customHeight="1">
      <c r="A40" s="39">
        <v>20</v>
      </c>
      <c r="B40" s="31" t="s">
        <v>81</v>
      </c>
      <c r="C40" s="97" t="s">
        <v>82</v>
      </c>
      <c r="D40" s="11"/>
      <c r="E40" s="60" t="s">
        <v>228</v>
      </c>
      <c r="F40" s="12"/>
      <c r="G40" s="12">
        <v>120</v>
      </c>
      <c r="H40" s="80" t="s">
        <v>229</v>
      </c>
      <c r="I40" s="60"/>
      <c r="J40" s="83">
        <v>0</v>
      </c>
      <c r="K40" s="92">
        <f>1+3+1+5+1+3+1</f>
        <v>15</v>
      </c>
      <c r="L40" s="60">
        <v>0</v>
      </c>
      <c r="M40" s="91">
        <v>48</v>
      </c>
      <c r="N40" s="83">
        <f t="shared" si="2"/>
        <v>15</v>
      </c>
      <c r="O40" s="115">
        <f t="shared" si="3"/>
        <v>15</v>
      </c>
      <c r="P40" s="65">
        <v>35</v>
      </c>
      <c r="Q40" s="36"/>
      <c r="R40" s="56"/>
      <c r="S40" s="118"/>
    </row>
    <row r="41" spans="1:19" ht="13.5" customHeight="1">
      <c r="A41" s="39">
        <v>24</v>
      </c>
      <c r="B41" s="43" t="s">
        <v>53</v>
      </c>
      <c r="C41" s="99" t="s">
        <v>115</v>
      </c>
      <c r="D41" s="11"/>
      <c r="E41" s="60" t="s">
        <v>228</v>
      </c>
      <c r="F41" s="12"/>
      <c r="G41" s="12">
        <v>120</v>
      </c>
      <c r="H41" s="80" t="s">
        <v>229</v>
      </c>
      <c r="I41" s="60"/>
      <c r="J41" s="83">
        <v>0</v>
      </c>
      <c r="K41" s="92">
        <f>1+3+1+7+1+1</f>
        <v>14</v>
      </c>
      <c r="L41" s="60">
        <v>0</v>
      </c>
      <c r="M41" s="12">
        <v>42.2</v>
      </c>
      <c r="N41" s="83">
        <f t="shared" si="2"/>
        <v>14</v>
      </c>
      <c r="O41" s="115">
        <f t="shared" si="3"/>
        <v>14</v>
      </c>
      <c r="P41" s="65">
        <v>36</v>
      </c>
      <c r="Q41" s="36"/>
      <c r="R41" s="56"/>
      <c r="S41" s="118"/>
    </row>
    <row r="42" spans="1:19" ht="13.5" customHeight="1">
      <c r="A42" s="39">
        <v>32</v>
      </c>
      <c r="B42" s="43" t="s">
        <v>51</v>
      </c>
      <c r="C42" s="98" t="s">
        <v>52</v>
      </c>
      <c r="D42" s="11"/>
      <c r="E42" s="60" t="s">
        <v>237</v>
      </c>
      <c r="F42" s="12"/>
      <c r="G42" s="12">
        <v>120</v>
      </c>
      <c r="H42" s="80" t="s">
        <v>229</v>
      </c>
      <c r="I42" s="60" t="s">
        <v>229</v>
      </c>
      <c r="J42" s="83">
        <v>0</v>
      </c>
      <c r="K42" s="92"/>
      <c r="L42" s="60" t="s">
        <v>237</v>
      </c>
      <c r="M42" s="60"/>
      <c r="N42" s="83">
        <v>0</v>
      </c>
      <c r="O42" s="115">
        <f t="shared" si="3"/>
        <v>0</v>
      </c>
      <c r="P42" s="65" t="s">
        <v>229</v>
      </c>
      <c r="Q42" s="36"/>
      <c r="R42" s="56"/>
      <c r="S42" s="118"/>
    </row>
    <row r="43" spans="1:19" ht="13.5" customHeight="1">
      <c r="A43" s="70">
        <v>33</v>
      </c>
      <c r="B43" s="74" t="s">
        <v>196</v>
      </c>
      <c r="C43" s="100" t="s">
        <v>197</v>
      </c>
      <c r="D43" s="68">
        <v>20</v>
      </c>
      <c r="E43" s="73">
        <v>39.5</v>
      </c>
      <c r="F43" s="73">
        <v>0</v>
      </c>
      <c r="G43" s="73">
        <f>D43+F43</f>
        <v>20</v>
      </c>
      <c r="H43" s="79">
        <v>20</v>
      </c>
      <c r="I43" s="79">
        <v>9</v>
      </c>
      <c r="J43" s="83">
        <f>120-D43-E43</f>
        <v>60.5</v>
      </c>
      <c r="K43" s="92"/>
      <c r="L43" s="60" t="s">
        <v>237</v>
      </c>
      <c r="M43" s="12"/>
      <c r="N43" s="83">
        <v>0</v>
      </c>
      <c r="O43" s="115">
        <f t="shared" si="3"/>
        <v>60.5</v>
      </c>
      <c r="P43" s="65" t="s">
        <v>229</v>
      </c>
      <c r="Q43" s="36"/>
      <c r="R43" s="119"/>
      <c r="S43" s="118"/>
    </row>
    <row r="44" spans="1:19" ht="13.5" customHeight="1">
      <c r="A44" s="39">
        <v>36</v>
      </c>
      <c r="B44" s="43" t="s">
        <v>112</v>
      </c>
      <c r="C44" s="98" t="s">
        <v>113</v>
      </c>
      <c r="D44" s="11"/>
      <c r="E44" s="60" t="s">
        <v>228</v>
      </c>
      <c r="F44" s="12"/>
      <c r="G44" s="12">
        <v>120</v>
      </c>
      <c r="H44" s="80" t="s">
        <v>229</v>
      </c>
      <c r="I44" s="60"/>
      <c r="J44" s="83">
        <v>0</v>
      </c>
      <c r="K44" s="92"/>
      <c r="L44" s="60" t="s">
        <v>239</v>
      </c>
      <c r="M44" s="12"/>
      <c r="N44" s="83">
        <v>0</v>
      </c>
      <c r="O44" s="115">
        <f t="shared" si="3"/>
        <v>0</v>
      </c>
      <c r="P44" s="65" t="s">
        <v>229</v>
      </c>
      <c r="Q44" s="36"/>
      <c r="R44" s="56"/>
      <c r="S44" s="118"/>
    </row>
    <row r="45" spans="1:19" ht="13.5" customHeight="1" thickBot="1">
      <c r="A45" s="41">
        <v>40</v>
      </c>
      <c r="B45" s="14" t="s">
        <v>233</v>
      </c>
      <c r="C45" s="102" t="s">
        <v>234</v>
      </c>
      <c r="D45" s="14"/>
      <c r="E45" s="22" t="s">
        <v>228</v>
      </c>
      <c r="F45" s="15"/>
      <c r="G45" s="15">
        <v>120</v>
      </c>
      <c r="H45" s="106" t="s">
        <v>229</v>
      </c>
      <c r="I45" s="22"/>
      <c r="J45" s="107">
        <v>0</v>
      </c>
      <c r="K45" s="108"/>
      <c r="L45" s="22" t="s">
        <v>237</v>
      </c>
      <c r="M45" s="15"/>
      <c r="N45" s="107">
        <v>0</v>
      </c>
      <c r="O45" s="117">
        <f t="shared" si="3"/>
        <v>0</v>
      </c>
      <c r="P45" s="66" t="s">
        <v>229</v>
      </c>
      <c r="Q45" s="36"/>
      <c r="R45" s="56"/>
      <c r="S45" s="118"/>
    </row>
  </sheetData>
  <mergeCells count="10">
    <mergeCell ref="D4:J4"/>
    <mergeCell ref="I1:K1"/>
    <mergeCell ref="A1:E1"/>
    <mergeCell ref="K4:N4"/>
    <mergeCell ref="C4:C5"/>
    <mergeCell ref="B4:B5"/>
    <mergeCell ref="L1:P1"/>
    <mergeCell ref="O4:O5"/>
    <mergeCell ref="P4:P5"/>
    <mergeCell ref="A2:C3"/>
  </mergeCells>
  <printOptions/>
  <pageMargins left="0.3937007874015748" right="0.3937007874015748" top="0.1968503937007874" bottom="0.1968503937007874" header="0" footer="0"/>
  <pageSetup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5"/>
  <sheetViews>
    <sheetView zoomScale="87" zoomScaleNormal="87" zoomScaleSheetLayoutView="75" workbookViewId="0" topLeftCell="A7">
      <selection activeCell="P28" sqref="P28"/>
    </sheetView>
  </sheetViews>
  <sheetFormatPr defaultColWidth="9.00390625" defaultRowHeight="12.75"/>
  <cols>
    <col min="1" max="1" width="3.25390625" style="0" customWidth="1"/>
    <col min="2" max="2" width="19.75390625" style="0" customWidth="1"/>
    <col min="3" max="3" width="17.75390625" style="0" customWidth="1"/>
    <col min="4" max="4" width="8.875" style="0" customWidth="1"/>
    <col min="5" max="5" width="7.75390625" style="0" customWidth="1"/>
    <col min="6" max="6" width="8.375" style="0" customWidth="1"/>
    <col min="7" max="8" width="6.75390625" style="0" customWidth="1"/>
    <col min="9" max="9" width="8.375" style="0" customWidth="1"/>
    <col min="10" max="10" width="8.75390625" style="0" customWidth="1"/>
    <col min="11" max="11" width="16.75390625" style="0" customWidth="1"/>
    <col min="12" max="12" width="12.75390625" style="0" customWidth="1"/>
    <col min="13" max="15" width="8.75390625" style="0" customWidth="1"/>
    <col min="16" max="16" width="7.75390625" style="0" customWidth="1"/>
  </cols>
  <sheetData>
    <row r="1" spans="1:16" ht="16.5" customHeight="1" thickBot="1">
      <c r="A1" s="181" t="s">
        <v>144</v>
      </c>
      <c r="B1" s="181"/>
      <c r="C1" s="181"/>
      <c r="D1" s="181"/>
      <c r="E1" s="181"/>
      <c r="F1" s="2"/>
      <c r="G1" s="2"/>
      <c r="H1" s="2" t="s">
        <v>0</v>
      </c>
      <c r="I1" s="180" t="s">
        <v>242</v>
      </c>
      <c r="J1" s="180"/>
      <c r="K1" s="180"/>
      <c r="L1" s="188" t="s">
        <v>241</v>
      </c>
      <c r="M1" s="188"/>
      <c r="N1" s="188"/>
      <c r="O1" s="188"/>
      <c r="P1" s="188"/>
    </row>
    <row r="2" spans="1:12" ht="12" customHeight="1">
      <c r="A2" s="188" t="s">
        <v>130</v>
      </c>
      <c r="B2" s="188"/>
      <c r="C2" s="188"/>
      <c r="D2" s="18" t="s">
        <v>145</v>
      </c>
      <c r="E2" s="34" t="s">
        <v>224</v>
      </c>
      <c r="F2" s="19" t="s">
        <v>85</v>
      </c>
      <c r="G2" s="10">
        <v>41</v>
      </c>
      <c r="K2" s="18" t="s">
        <v>13</v>
      </c>
      <c r="L2" s="32" t="s">
        <v>240</v>
      </c>
    </row>
    <row r="3" spans="1:12" ht="12" customHeight="1" thickBot="1">
      <c r="A3" s="193"/>
      <c r="B3" s="193"/>
      <c r="C3" s="193"/>
      <c r="D3" s="21" t="s">
        <v>146</v>
      </c>
      <c r="E3" s="35" t="s">
        <v>225</v>
      </c>
      <c r="F3" s="22" t="s">
        <v>86</v>
      </c>
      <c r="G3" s="16">
        <v>82</v>
      </c>
      <c r="K3" s="21" t="s">
        <v>14</v>
      </c>
      <c r="L3" s="33" t="s">
        <v>227</v>
      </c>
    </row>
    <row r="4" spans="1:16" ht="13.5" customHeight="1" thickBot="1">
      <c r="A4" s="3" t="s">
        <v>1</v>
      </c>
      <c r="B4" s="186" t="s">
        <v>2</v>
      </c>
      <c r="C4" s="171" t="s">
        <v>3</v>
      </c>
      <c r="D4" s="176" t="s">
        <v>4</v>
      </c>
      <c r="E4" s="184"/>
      <c r="F4" s="184"/>
      <c r="G4" s="184"/>
      <c r="H4" s="184"/>
      <c r="I4" s="184"/>
      <c r="J4" s="185"/>
      <c r="K4" s="176" t="s">
        <v>5</v>
      </c>
      <c r="L4" s="184"/>
      <c r="M4" s="184"/>
      <c r="N4" s="185"/>
      <c r="O4" s="189" t="s">
        <v>6</v>
      </c>
      <c r="P4" s="191" t="s">
        <v>7</v>
      </c>
    </row>
    <row r="5" spans="1:16" ht="35.25" customHeight="1" thickBot="1">
      <c r="A5" s="5" t="s">
        <v>8</v>
      </c>
      <c r="B5" s="187"/>
      <c r="C5" s="174"/>
      <c r="D5" s="6" t="s">
        <v>9</v>
      </c>
      <c r="E5" s="6" t="s">
        <v>10</v>
      </c>
      <c r="F5" s="6" t="s">
        <v>11</v>
      </c>
      <c r="G5" s="6" t="s">
        <v>12</v>
      </c>
      <c r="H5" s="28" t="s">
        <v>139</v>
      </c>
      <c r="I5" s="77" t="s">
        <v>141</v>
      </c>
      <c r="J5" s="29" t="s">
        <v>140</v>
      </c>
      <c r="K5" s="7" t="s">
        <v>13</v>
      </c>
      <c r="L5" s="7" t="s">
        <v>14</v>
      </c>
      <c r="M5" s="7" t="s">
        <v>10</v>
      </c>
      <c r="N5" s="29" t="s">
        <v>15</v>
      </c>
      <c r="O5" s="190"/>
      <c r="P5" s="192"/>
    </row>
    <row r="6" spans="1:19" ht="13.5" customHeight="1">
      <c r="A6" s="47">
        <v>10</v>
      </c>
      <c r="B6" s="48" t="s">
        <v>60</v>
      </c>
      <c r="C6" s="134" t="s">
        <v>63</v>
      </c>
      <c r="D6" s="30">
        <v>0</v>
      </c>
      <c r="E6" s="27">
        <v>32.5</v>
      </c>
      <c r="F6" s="27">
        <v>0</v>
      </c>
      <c r="G6" s="27">
        <f aca="true" t="shared" si="0" ref="G6:G21">F6+D6</f>
        <v>0</v>
      </c>
      <c r="H6" s="86">
        <v>1</v>
      </c>
      <c r="I6" s="86"/>
      <c r="J6" s="82">
        <f aca="true" t="shared" si="1" ref="J6:J21">120-D6-E6</f>
        <v>87.5</v>
      </c>
      <c r="K6" s="18">
        <f>5+7+7+5+1+3+5+1+5+1+3</f>
        <v>43</v>
      </c>
      <c r="L6" s="19">
        <v>16</v>
      </c>
      <c r="M6" s="9">
        <v>37.3</v>
      </c>
      <c r="N6" s="82">
        <f aca="true" t="shared" si="2" ref="N6:N25">K6+L6</f>
        <v>59</v>
      </c>
      <c r="O6" s="116">
        <f aca="true" t="shared" si="3" ref="O6:O28">J6+N6</f>
        <v>146.5</v>
      </c>
      <c r="P6" s="113">
        <v>1</v>
      </c>
      <c r="Q6" s="36"/>
      <c r="R6" s="36"/>
      <c r="S6" s="36"/>
    </row>
    <row r="7" spans="1:19" ht="13.5" customHeight="1">
      <c r="A7" s="70">
        <v>9</v>
      </c>
      <c r="B7" s="74" t="s">
        <v>66</v>
      </c>
      <c r="C7" s="71" t="s">
        <v>67</v>
      </c>
      <c r="D7" s="68">
        <v>0</v>
      </c>
      <c r="E7" s="73">
        <v>36.2</v>
      </c>
      <c r="F7" s="73">
        <v>0</v>
      </c>
      <c r="G7" s="73">
        <f t="shared" si="0"/>
        <v>0</v>
      </c>
      <c r="H7" s="79">
        <v>3</v>
      </c>
      <c r="I7" s="85">
        <v>1</v>
      </c>
      <c r="J7" s="83">
        <f t="shared" si="1"/>
        <v>83.8</v>
      </c>
      <c r="K7" s="63">
        <f>5+7+7+5+1+3+5</f>
        <v>33</v>
      </c>
      <c r="L7" s="60">
        <v>16</v>
      </c>
      <c r="M7" s="12">
        <v>37.5</v>
      </c>
      <c r="N7" s="83">
        <f t="shared" si="2"/>
        <v>49</v>
      </c>
      <c r="O7" s="115">
        <f t="shared" si="3"/>
        <v>132.8</v>
      </c>
      <c r="P7" s="114">
        <v>2</v>
      </c>
      <c r="Q7" s="36"/>
      <c r="R7" s="36"/>
      <c r="S7" s="36"/>
    </row>
    <row r="8" spans="1:19" ht="13.5" customHeight="1">
      <c r="A8" s="40">
        <v>3</v>
      </c>
      <c r="B8" s="44" t="s">
        <v>32</v>
      </c>
      <c r="C8" s="49" t="s">
        <v>33</v>
      </c>
      <c r="D8" s="31">
        <v>0</v>
      </c>
      <c r="E8" s="25">
        <v>40.6</v>
      </c>
      <c r="F8" s="25">
        <v>0</v>
      </c>
      <c r="G8" s="25">
        <f t="shared" si="0"/>
        <v>0</v>
      </c>
      <c r="H8" s="80">
        <v>4</v>
      </c>
      <c r="I8" s="80"/>
      <c r="J8" s="83">
        <f t="shared" si="1"/>
        <v>79.4</v>
      </c>
      <c r="K8" s="63">
        <f>5+1+7+7+5+3+5</f>
        <v>33</v>
      </c>
      <c r="L8" s="60">
        <v>16</v>
      </c>
      <c r="M8" s="12">
        <v>38.3</v>
      </c>
      <c r="N8" s="83">
        <f t="shared" si="2"/>
        <v>49</v>
      </c>
      <c r="O8" s="115">
        <f t="shared" si="3"/>
        <v>128.4</v>
      </c>
      <c r="P8" s="114">
        <v>3</v>
      </c>
      <c r="Q8" s="36"/>
      <c r="R8" s="36"/>
      <c r="S8" s="36"/>
    </row>
    <row r="9" spans="1:19" ht="13.5" customHeight="1">
      <c r="A9" s="40">
        <v>12</v>
      </c>
      <c r="B9" s="44" t="s">
        <v>205</v>
      </c>
      <c r="C9" s="46" t="s">
        <v>212</v>
      </c>
      <c r="D9" s="31">
        <v>0</v>
      </c>
      <c r="E9" s="25">
        <v>35.1</v>
      </c>
      <c r="F9" s="25">
        <v>0</v>
      </c>
      <c r="G9" s="25">
        <f t="shared" si="0"/>
        <v>0</v>
      </c>
      <c r="H9" s="80">
        <v>2</v>
      </c>
      <c r="I9" s="80"/>
      <c r="J9" s="83">
        <f t="shared" si="1"/>
        <v>84.9</v>
      </c>
      <c r="K9" s="63">
        <f>5+7+7+5+1</f>
        <v>25</v>
      </c>
      <c r="L9" s="60">
        <v>16</v>
      </c>
      <c r="M9" s="91">
        <v>38</v>
      </c>
      <c r="N9" s="83">
        <f t="shared" si="2"/>
        <v>41</v>
      </c>
      <c r="O9" s="115">
        <f t="shared" si="3"/>
        <v>125.9</v>
      </c>
      <c r="P9" s="65">
        <v>4</v>
      </c>
      <c r="Q9" s="36"/>
      <c r="R9" s="36"/>
      <c r="S9" s="36"/>
    </row>
    <row r="10" spans="1:19" ht="13.5" customHeight="1">
      <c r="A10" s="70">
        <v>7</v>
      </c>
      <c r="B10" s="74" t="s">
        <v>151</v>
      </c>
      <c r="C10" s="75" t="s">
        <v>152</v>
      </c>
      <c r="D10" s="68">
        <v>0</v>
      </c>
      <c r="E10" s="73">
        <v>41.4</v>
      </c>
      <c r="F10" s="73">
        <f>E10-41</f>
        <v>0.3999999999999986</v>
      </c>
      <c r="G10" s="73">
        <f t="shared" si="0"/>
        <v>0.3999999999999986</v>
      </c>
      <c r="H10" s="79">
        <v>5</v>
      </c>
      <c r="I10" s="85">
        <v>2</v>
      </c>
      <c r="J10" s="83">
        <f t="shared" si="1"/>
        <v>78.6</v>
      </c>
      <c r="K10" s="63">
        <f>5+7+7+5+1+3+3</f>
        <v>31</v>
      </c>
      <c r="L10" s="60">
        <v>16</v>
      </c>
      <c r="M10" s="12">
        <v>39.9</v>
      </c>
      <c r="N10" s="83">
        <f t="shared" si="2"/>
        <v>47</v>
      </c>
      <c r="O10" s="115">
        <f t="shared" si="3"/>
        <v>125.6</v>
      </c>
      <c r="P10" s="65">
        <v>5</v>
      </c>
      <c r="Q10" s="36"/>
      <c r="R10" s="36"/>
      <c r="S10" s="36"/>
    </row>
    <row r="11" spans="1:19" ht="13.5" customHeight="1">
      <c r="A11" s="70">
        <v>11</v>
      </c>
      <c r="B11" s="74" t="s">
        <v>72</v>
      </c>
      <c r="C11" s="69" t="s">
        <v>126</v>
      </c>
      <c r="D11" s="68">
        <v>0</v>
      </c>
      <c r="E11" s="73">
        <v>43.8</v>
      </c>
      <c r="F11" s="73">
        <f>E11-41</f>
        <v>2.799999999999997</v>
      </c>
      <c r="G11" s="73">
        <f t="shared" si="0"/>
        <v>2.799999999999997</v>
      </c>
      <c r="H11" s="79">
        <v>6</v>
      </c>
      <c r="I11" s="85">
        <v>3</v>
      </c>
      <c r="J11" s="83">
        <f t="shared" si="1"/>
        <v>76.2</v>
      </c>
      <c r="K11" s="63">
        <f>1+5+1+7+1+7+1+1+3+1</f>
        <v>28</v>
      </c>
      <c r="L11" s="60">
        <v>16</v>
      </c>
      <c r="M11" s="12">
        <v>38.4</v>
      </c>
      <c r="N11" s="83">
        <f t="shared" si="2"/>
        <v>44</v>
      </c>
      <c r="O11" s="115">
        <f t="shared" si="3"/>
        <v>120.2</v>
      </c>
      <c r="P11" s="65">
        <v>6</v>
      </c>
      <c r="Q11" s="36"/>
      <c r="R11" s="36"/>
      <c r="S11" s="36"/>
    </row>
    <row r="12" spans="1:19" ht="13.5" customHeight="1">
      <c r="A12" s="40">
        <v>6</v>
      </c>
      <c r="B12" s="44" t="s">
        <v>43</v>
      </c>
      <c r="C12" s="49" t="s">
        <v>44</v>
      </c>
      <c r="D12" s="31">
        <v>10</v>
      </c>
      <c r="E12" s="25">
        <v>45.9</v>
      </c>
      <c r="F12" s="25">
        <f>E12-41</f>
        <v>4.899999999999999</v>
      </c>
      <c r="G12" s="25">
        <f t="shared" si="0"/>
        <v>14.899999999999999</v>
      </c>
      <c r="H12" s="80">
        <v>12</v>
      </c>
      <c r="I12" s="80"/>
      <c r="J12" s="83">
        <f t="shared" si="1"/>
        <v>64.1</v>
      </c>
      <c r="K12" s="63">
        <f>5+7+7+1+3+5+1+5+1+1+3+1</f>
        <v>40</v>
      </c>
      <c r="L12" s="60">
        <v>16</v>
      </c>
      <c r="M12" s="12">
        <v>35.4</v>
      </c>
      <c r="N12" s="83">
        <f t="shared" si="2"/>
        <v>56</v>
      </c>
      <c r="O12" s="115">
        <f t="shared" si="3"/>
        <v>120.1</v>
      </c>
      <c r="P12" s="65">
        <v>7</v>
      </c>
      <c r="Q12" s="36"/>
      <c r="R12" s="36"/>
      <c r="S12" s="36"/>
    </row>
    <row r="13" spans="1:19" ht="13.5" customHeight="1">
      <c r="A13" s="40">
        <v>8</v>
      </c>
      <c r="B13" s="44" t="s">
        <v>56</v>
      </c>
      <c r="C13" s="49" t="s">
        <v>65</v>
      </c>
      <c r="D13" s="31">
        <v>15</v>
      </c>
      <c r="E13" s="25">
        <v>39.3</v>
      </c>
      <c r="F13" s="25">
        <v>0</v>
      </c>
      <c r="G13" s="25">
        <f t="shared" si="0"/>
        <v>15</v>
      </c>
      <c r="H13" s="80">
        <v>13</v>
      </c>
      <c r="I13" s="80"/>
      <c r="J13" s="83">
        <f t="shared" si="1"/>
        <v>65.7</v>
      </c>
      <c r="K13" s="63">
        <f>3+3+3+1+5+7+7+5+1+3</f>
        <v>38</v>
      </c>
      <c r="L13" s="60">
        <v>16</v>
      </c>
      <c r="M13" s="12">
        <v>39.4</v>
      </c>
      <c r="N13" s="83">
        <f t="shared" si="2"/>
        <v>54</v>
      </c>
      <c r="O13" s="115">
        <f t="shared" si="3"/>
        <v>119.7</v>
      </c>
      <c r="P13" s="120" t="s">
        <v>243</v>
      </c>
      <c r="Q13" s="36"/>
      <c r="R13" s="36"/>
      <c r="S13" s="36"/>
    </row>
    <row r="14" spans="1:19" ht="13.5" customHeight="1">
      <c r="A14" s="40">
        <v>21</v>
      </c>
      <c r="B14" s="52" t="s">
        <v>35</v>
      </c>
      <c r="C14" s="53" t="s">
        <v>36</v>
      </c>
      <c r="D14" s="31">
        <v>10</v>
      </c>
      <c r="E14" s="25">
        <v>36.3</v>
      </c>
      <c r="F14" s="25">
        <v>0</v>
      </c>
      <c r="G14" s="25">
        <f t="shared" si="0"/>
        <v>10</v>
      </c>
      <c r="H14" s="80">
        <v>9</v>
      </c>
      <c r="I14" s="80"/>
      <c r="J14" s="83">
        <f t="shared" si="1"/>
        <v>73.7</v>
      </c>
      <c r="K14" s="63">
        <f>3+3+5+1+7+5+5+1</f>
        <v>30</v>
      </c>
      <c r="L14" s="60">
        <v>16</v>
      </c>
      <c r="M14" s="12">
        <v>37.5</v>
      </c>
      <c r="N14" s="83">
        <f t="shared" si="2"/>
        <v>46</v>
      </c>
      <c r="O14" s="115">
        <f t="shared" si="3"/>
        <v>119.7</v>
      </c>
      <c r="P14" s="120" t="s">
        <v>243</v>
      </c>
      <c r="Q14" s="36"/>
      <c r="R14" s="36"/>
      <c r="S14" s="36"/>
    </row>
    <row r="15" spans="1:19" ht="13.5" customHeight="1">
      <c r="A15" s="70">
        <v>22</v>
      </c>
      <c r="B15" s="74" t="s">
        <v>124</v>
      </c>
      <c r="C15" s="69" t="s">
        <v>125</v>
      </c>
      <c r="D15" s="68">
        <v>10</v>
      </c>
      <c r="E15" s="73">
        <v>37.5</v>
      </c>
      <c r="F15" s="73">
        <v>0</v>
      </c>
      <c r="G15" s="73">
        <f t="shared" si="0"/>
        <v>10</v>
      </c>
      <c r="H15" s="79">
        <v>10</v>
      </c>
      <c r="I15" s="79">
        <v>4</v>
      </c>
      <c r="J15" s="83">
        <f t="shared" si="1"/>
        <v>72.5</v>
      </c>
      <c r="K15" s="63">
        <f>5+7+7+5+3+5+1+5</f>
        <v>38</v>
      </c>
      <c r="L15" s="60">
        <v>0</v>
      </c>
      <c r="M15" s="12">
        <v>39.4</v>
      </c>
      <c r="N15" s="83">
        <f t="shared" si="2"/>
        <v>38</v>
      </c>
      <c r="O15" s="115">
        <f t="shared" si="3"/>
        <v>110.5</v>
      </c>
      <c r="P15" s="65">
        <v>10</v>
      </c>
      <c r="Q15" s="36"/>
      <c r="R15" s="36"/>
      <c r="S15" s="36"/>
    </row>
    <row r="16" spans="1:19" ht="13.5" customHeight="1">
      <c r="A16" s="70">
        <v>18</v>
      </c>
      <c r="B16" s="68" t="s">
        <v>196</v>
      </c>
      <c r="C16" s="71" t="s">
        <v>209</v>
      </c>
      <c r="D16" s="68">
        <v>25</v>
      </c>
      <c r="E16" s="73">
        <v>36.8</v>
      </c>
      <c r="F16" s="73">
        <v>0</v>
      </c>
      <c r="G16" s="73">
        <f t="shared" si="0"/>
        <v>25</v>
      </c>
      <c r="H16" s="79">
        <v>14</v>
      </c>
      <c r="I16" s="79">
        <v>6</v>
      </c>
      <c r="J16" s="83">
        <f t="shared" si="1"/>
        <v>58.2</v>
      </c>
      <c r="K16" s="63">
        <f>3+3+5+7+5+7+1+5</f>
        <v>36</v>
      </c>
      <c r="L16" s="60">
        <v>16</v>
      </c>
      <c r="M16" s="91">
        <v>40</v>
      </c>
      <c r="N16" s="83">
        <f t="shared" si="2"/>
        <v>52</v>
      </c>
      <c r="O16" s="115">
        <f t="shared" si="3"/>
        <v>110.2</v>
      </c>
      <c r="P16" s="65">
        <v>11</v>
      </c>
      <c r="Q16" s="36"/>
      <c r="R16" s="36"/>
      <c r="S16" s="36"/>
    </row>
    <row r="17" spans="1:19" ht="13.5" customHeight="1">
      <c r="A17" s="70">
        <v>4</v>
      </c>
      <c r="B17" s="74" t="s">
        <v>30</v>
      </c>
      <c r="C17" s="75" t="s">
        <v>31</v>
      </c>
      <c r="D17" s="68">
        <v>0</v>
      </c>
      <c r="E17" s="73">
        <v>51.4</v>
      </c>
      <c r="F17" s="73">
        <f>E17-41</f>
        <v>10.399999999999999</v>
      </c>
      <c r="G17" s="73">
        <f t="shared" si="0"/>
        <v>10.399999999999999</v>
      </c>
      <c r="H17" s="79">
        <v>11</v>
      </c>
      <c r="I17" s="79">
        <v>5</v>
      </c>
      <c r="J17" s="83">
        <f t="shared" si="1"/>
        <v>68.6</v>
      </c>
      <c r="K17" s="63">
        <f>5+7+7+3</f>
        <v>22</v>
      </c>
      <c r="L17" s="60">
        <v>8</v>
      </c>
      <c r="M17" s="12">
        <v>46.7</v>
      </c>
      <c r="N17" s="83">
        <f t="shared" si="2"/>
        <v>30</v>
      </c>
      <c r="O17" s="115">
        <f t="shared" si="3"/>
        <v>98.6</v>
      </c>
      <c r="P17" s="65">
        <v>12</v>
      </c>
      <c r="Q17" s="36"/>
      <c r="R17" s="36"/>
      <c r="S17" s="36"/>
    </row>
    <row r="18" spans="1:19" ht="13.5" customHeight="1">
      <c r="A18" s="40">
        <v>13</v>
      </c>
      <c r="B18" s="31" t="s">
        <v>16</v>
      </c>
      <c r="C18" s="45" t="s">
        <v>97</v>
      </c>
      <c r="D18" s="31">
        <v>30</v>
      </c>
      <c r="E18" s="25">
        <v>34.5</v>
      </c>
      <c r="F18" s="25">
        <v>0</v>
      </c>
      <c r="G18" s="25">
        <f t="shared" si="0"/>
        <v>30</v>
      </c>
      <c r="H18" s="80">
        <v>15</v>
      </c>
      <c r="I18" s="80"/>
      <c r="J18" s="83">
        <f t="shared" si="1"/>
        <v>55.5</v>
      </c>
      <c r="K18" s="63">
        <f>3+3+7+5+3</f>
        <v>21</v>
      </c>
      <c r="L18" s="60">
        <v>16</v>
      </c>
      <c r="M18" s="12">
        <v>37.5</v>
      </c>
      <c r="N18" s="83">
        <f t="shared" si="2"/>
        <v>37</v>
      </c>
      <c r="O18" s="115">
        <f t="shared" si="3"/>
        <v>92.5</v>
      </c>
      <c r="P18" s="65">
        <v>13</v>
      </c>
      <c r="Q18" s="36"/>
      <c r="R18" s="36"/>
      <c r="S18" s="36"/>
    </row>
    <row r="19" spans="1:19" ht="13.5" customHeight="1">
      <c r="A19" s="40">
        <v>2</v>
      </c>
      <c r="B19" s="52" t="s">
        <v>35</v>
      </c>
      <c r="C19" s="54" t="s">
        <v>96</v>
      </c>
      <c r="D19" s="31">
        <v>30</v>
      </c>
      <c r="E19" s="25">
        <v>50.7</v>
      </c>
      <c r="F19" s="25">
        <f>E19-41</f>
        <v>9.700000000000003</v>
      </c>
      <c r="G19" s="25">
        <f t="shared" si="0"/>
        <v>39.7</v>
      </c>
      <c r="H19" s="80">
        <v>18</v>
      </c>
      <c r="I19" s="80"/>
      <c r="J19" s="83">
        <f t="shared" si="1"/>
        <v>39.3</v>
      </c>
      <c r="K19" s="63">
        <f>3+3+5+1+7+5+5+1+5</f>
        <v>35</v>
      </c>
      <c r="L19" s="60">
        <v>16</v>
      </c>
      <c r="M19" s="12">
        <v>38.7</v>
      </c>
      <c r="N19" s="83">
        <f t="shared" si="2"/>
        <v>51</v>
      </c>
      <c r="O19" s="115">
        <f t="shared" si="3"/>
        <v>90.3</v>
      </c>
      <c r="P19" s="65">
        <v>14</v>
      </c>
      <c r="Q19" s="36"/>
      <c r="R19" s="36"/>
      <c r="S19" s="36"/>
    </row>
    <row r="20" spans="1:19" ht="13.5" customHeight="1">
      <c r="A20" s="70">
        <v>20</v>
      </c>
      <c r="B20" s="68" t="s">
        <v>37</v>
      </c>
      <c r="C20" s="71" t="s">
        <v>174</v>
      </c>
      <c r="D20" s="68">
        <v>5</v>
      </c>
      <c r="E20" s="73">
        <v>68.7</v>
      </c>
      <c r="F20" s="73">
        <f>E20-41</f>
        <v>27.700000000000003</v>
      </c>
      <c r="G20" s="73">
        <f t="shared" si="0"/>
        <v>32.7</v>
      </c>
      <c r="H20" s="79">
        <v>16</v>
      </c>
      <c r="I20" s="79">
        <v>7</v>
      </c>
      <c r="J20" s="83">
        <f t="shared" si="1"/>
        <v>46.3</v>
      </c>
      <c r="K20" s="63">
        <f>1+3+5+1+7+1+1+1+5</f>
        <v>25</v>
      </c>
      <c r="L20" s="60">
        <v>8</v>
      </c>
      <c r="M20" s="12">
        <v>43.2</v>
      </c>
      <c r="N20" s="83">
        <f t="shared" si="2"/>
        <v>33</v>
      </c>
      <c r="O20" s="115">
        <f t="shared" si="3"/>
        <v>79.3</v>
      </c>
      <c r="P20" s="65">
        <v>15</v>
      </c>
      <c r="Q20" s="36"/>
      <c r="R20" s="36"/>
      <c r="S20" s="36"/>
    </row>
    <row r="21" spans="1:19" ht="13.5" customHeight="1">
      <c r="A21" s="40">
        <v>23</v>
      </c>
      <c r="B21" s="31" t="s">
        <v>167</v>
      </c>
      <c r="C21" s="45" t="s">
        <v>168</v>
      </c>
      <c r="D21" s="31">
        <v>0</v>
      </c>
      <c r="E21" s="25">
        <v>79.1</v>
      </c>
      <c r="F21" s="25">
        <f>E21-41</f>
        <v>38.099999999999994</v>
      </c>
      <c r="G21" s="25">
        <f t="shared" si="0"/>
        <v>38.099999999999994</v>
      </c>
      <c r="H21" s="80">
        <v>17</v>
      </c>
      <c r="I21" s="80"/>
      <c r="J21" s="83">
        <f t="shared" si="1"/>
        <v>40.900000000000006</v>
      </c>
      <c r="K21" s="63">
        <f>5+7+1+1+5</f>
        <v>19</v>
      </c>
      <c r="L21" s="60">
        <v>8</v>
      </c>
      <c r="M21" s="12">
        <v>41.7</v>
      </c>
      <c r="N21" s="83">
        <f t="shared" si="2"/>
        <v>27</v>
      </c>
      <c r="O21" s="115">
        <f t="shared" si="3"/>
        <v>67.9</v>
      </c>
      <c r="P21" s="65">
        <v>16</v>
      </c>
      <c r="Q21" s="36"/>
      <c r="R21" s="36"/>
      <c r="S21" s="36"/>
    </row>
    <row r="22" spans="1:19" ht="13.5" customHeight="1">
      <c r="A22" s="40">
        <v>19</v>
      </c>
      <c r="B22" s="50" t="s">
        <v>32</v>
      </c>
      <c r="C22" s="51" t="s">
        <v>34</v>
      </c>
      <c r="D22" s="31"/>
      <c r="E22" s="80" t="s">
        <v>228</v>
      </c>
      <c r="F22" s="25"/>
      <c r="G22" s="25">
        <v>120</v>
      </c>
      <c r="H22" s="80" t="s">
        <v>229</v>
      </c>
      <c r="I22" s="80"/>
      <c r="J22" s="83">
        <v>0</v>
      </c>
      <c r="K22" s="63">
        <f>5+7+7+5+3+5+5+3</f>
        <v>40</v>
      </c>
      <c r="L22" s="60">
        <v>16</v>
      </c>
      <c r="M22" s="12">
        <v>39.3</v>
      </c>
      <c r="N22" s="83">
        <f t="shared" si="2"/>
        <v>56</v>
      </c>
      <c r="O22" s="115">
        <f t="shared" si="3"/>
        <v>56</v>
      </c>
      <c r="P22" s="65">
        <v>17</v>
      </c>
      <c r="Q22" s="36"/>
      <c r="R22" s="36"/>
      <c r="S22" s="36"/>
    </row>
    <row r="23" spans="1:19" ht="13.5" customHeight="1">
      <c r="A23" s="40">
        <v>15</v>
      </c>
      <c r="B23" s="44" t="s">
        <v>210</v>
      </c>
      <c r="C23" s="49" t="s">
        <v>211</v>
      </c>
      <c r="D23" s="31"/>
      <c r="E23" s="80" t="s">
        <v>228</v>
      </c>
      <c r="F23" s="25"/>
      <c r="G23" s="25">
        <v>121</v>
      </c>
      <c r="H23" s="80" t="s">
        <v>229</v>
      </c>
      <c r="I23" s="80"/>
      <c r="J23" s="83">
        <v>0</v>
      </c>
      <c r="K23" s="63">
        <f>3+3+3+5+5+7+7+3</f>
        <v>36</v>
      </c>
      <c r="L23" s="60">
        <v>16</v>
      </c>
      <c r="M23" s="12">
        <v>40.5</v>
      </c>
      <c r="N23" s="83">
        <f t="shared" si="2"/>
        <v>52</v>
      </c>
      <c r="O23" s="115">
        <f t="shared" si="3"/>
        <v>52</v>
      </c>
      <c r="P23" s="65">
        <v>18</v>
      </c>
      <c r="Q23" s="36"/>
      <c r="R23" s="36"/>
      <c r="S23" s="36"/>
    </row>
    <row r="24" spans="1:19" ht="13.5" customHeight="1">
      <c r="A24" s="40">
        <v>14</v>
      </c>
      <c r="B24" s="44" t="s">
        <v>122</v>
      </c>
      <c r="C24" s="49" t="s">
        <v>123</v>
      </c>
      <c r="D24" s="31"/>
      <c r="E24" s="80" t="s">
        <v>228</v>
      </c>
      <c r="F24" s="25"/>
      <c r="G24" s="25">
        <v>120</v>
      </c>
      <c r="H24" s="80" t="s">
        <v>229</v>
      </c>
      <c r="I24" s="80"/>
      <c r="J24" s="83">
        <v>0</v>
      </c>
      <c r="K24" s="63">
        <f>3+3+5+5+3+5+7+7</f>
        <v>38</v>
      </c>
      <c r="L24" s="60">
        <v>8</v>
      </c>
      <c r="M24" s="12">
        <v>42.4</v>
      </c>
      <c r="N24" s="83">
        <f t="shared" si="2"/>
        <v>46</v>
      </c>
      <c r="O24" s="115">
        <f t="shared" si="3"/>
        <v>46</v>
      </c>
      <c r="P24" s="65">
        <v>19</v>
      </c>
      <c r="Q24" s="36"/>
      <c r="R24" s="36"/>
      <c r="S24" s="36"/>
    </row>
    <row r="25" spans="1:19" ht="13.5" customHeight="1">
      <c r="A25" s="40">
        <v>5</v>
      </c>
      <c r="B25" s="52" t="s">
        <v>167</v>
      </c>
      <c r="C25" s="133" t="s">
        <v>169</v>
      </c>
      <c r="D25" s="31"/>
      <c r="E25" s="80" t="s">
        <v>228</v>
      </c>
      <c r="F25" s="25"/>
      <c r="G25" s="25">
        <v>120</v>
      </c>
      <c r="H25" s="80" t="s">
        <v>229</v>
      </c>
      <c r="I25" s="80"/>
      <c r="J25" s="83">
        <v>0</v>
      </c>
      <c r="K25" s="63">
        <f>5+1+3+1+1+3+5</f>
        <v>19</v>
      </c>
      <c r="L25" s="60">
        <v>0</v>
      </c>
      <c r="M25" s="91">
        <v>45</v>
      </c>
      <c r="N25" s="83">
        <f t="shared" si="2"/>
        <v>19</v>
      </c>
      <c r="O25" s="115">
        <f t="shared" si="3"/>
        <v>19</v>
      </c>
      <c r="P25" s="65">
        <v>20</v>
      </c>
      <c r="Q25" s="36"/>
      <c r="R25" s="36"/>
      <c r="S25" s="36"/>
    </row>
    <row r="26" spans="1:19" ht="13.5" customHeight="1">
      <c r="A26" s="40">
        <v>1</v>
      </c>
      <c r="B26" s="44" t="s">
        <v>60</v>
      </c>
      <c r="C26" s="132" t="s">
        <v>64</v>
      </c>
      <c r="D26" s="31">
        <v>10</v>
      </c>
      <c r="E26" s="25">
        <v>32.5</v>
      </c>
      <c r="F26" s="25">
        <v>0</v>
      </c>
      <c r="G26" s="25">
        <f>F26+D26</f>
        <v>10</v>
      </c>
      <c r="H26" s="80">
        <v>8</v>
      </c>
      <c r="I26" s="80"/>
      <c r="J26" s="83">
        <f>120-D26-E26</f>
        <v>77.5</v>
      </c>
      <c r="K26" s="63"/>
      <c r="L26" s="60" t="s">
        <v>237</v>
      </c>
      <c r="M26" s="12"/>
      <c r="N26" s="83">
        <v>0</v>
      </c>
      <c r="O26" s="115">
        <f t="shared" si="3"/>
        <v>77.5</v>
      </c>
      <c r="P26" s="65" t="s">
        <v>229</v>
      </c>
      <c r="Q26" s="36"/>
      <c r="R26" s="36"/>
      <c r="S26" s="36"/>
    </row>
    <row r="27" spans="1:19" ht="13.5" customHeight="1">
      <c r="A27" s="40">
        <v>16</v>
      </c>
      <c r="B27" s="31" t="s">
        <v>20</v>
      </c>
      <c r="C27" s="45" t="s">
        <v>62</v>
      </c>
      <c r="D27" s="31">
        <v>5</v>
      </c>
      <c r="E27" s="25">
        <v>40.3</v>
      </c>
      <c r="F27" s="25">
        <v>0</v>
      </c>
      <c r="G27" s="25">
        <f>F27+D27</f>
        <v>5</v>
      </c>
      <c r="H27" s="80">
        <v>7</v>
      </c>
      <c r="I27" s="80"/>
      <c r="J27" s="83">
        <f>120-D27-E27</f>
        <v>74.7</v>
      </c>
      <c r="K27" s="63"/>
      <c r="L27" s="60" t="s">
        <v>237</v>
      </c>
      <c r="M27" s="12"/>
      <c r="N27" s="83">
        <v>0</v>
      </c>
      <c r="O27" s="115">
        <f t="shared" si="3"/>
        <v>74.7</v>
      </c>
      <c r="P27" s="65" t="s">
        <v>229</v>
      </c>
      <c r="Q27" s="36"/>
      <c r="R27" s="36"/>
      <c r="S27" s="36"/>
    </row>
    <row r="28" spans="1:19" ht="13.5" customHeight="1">
      <c r="A28" s="70">
        <v>17</v>
      </c>
      <c r="B28" s="74" t="s">
        <v>153</v>
      </c>
      <c r="C28" s="69" t="s">
        <v>154</v>
      </c>
      <c r="D28" s="68"/>
      <c r="E28" s="79" t="s">
        <v>228</v>
      </c>
      <c r="F28" s="73"/>
      <c r="G28" s="73">
        <v>120</v>
      </c>
      <c r="H28" s="79" t="s">
        <v>229</v>
      </c>
      <c r="I28" s="79" t="s">
        <v>229</v>
      </c>
      <c r="J28" s="83">
        <v>0</v>
      </c>
      <c r="K28" s="63"/>
      <c r="L28" s="60" t="s">
        <v>239</v>
      </c>
      <c r="M28" s="12"/>
      <c r="N28" s="83">
        <v>0</v>
      </c>
      <c r="O28" s="115">
        <f t="shared" si="3"/>
        <v>0</v>
      </c>
      <c r="P28" s="65" t="s">
        <v>229</v>
      </c>
      <c r="Q28" s="36"/>
      <c r="R28" s="36"/>
      <c r="S28" s="36"/>
    </row>
    <row r="29" spans="1:16" ht="13.5" customHeight="1">
      <c r="A29" s="143"/>
      <c r="B29" s="150"/>
      <c r="C29" s="151"/>
      <c r="D29" s="143"/>
      <c r="E29" s="143"/>
      <c r="F29" s="143"/>
      <c r="G29" s="143"/>
      <c r="H29" s="143"/>
      <c r="I29" s="143"/>
      <c r="J29" s="144"/>
      <c r="K29" s="145"/>
      <c r="L29" s="145"/>
      <c r="M29" s="145"/>
      <c r="N29" s="144"/>
      <c r="O29" s="145"/>
      <c r="P29" s="145"/>
    </row>
    <row r="30" spans="1:16" ht="13.5" customHeight="1">
      <c r="A30" s="148"/>
      <c r="B30" s="148"/>
      <c r="C30" s="148"/>
      <c r="D30" s="148"/>
      <c r="E30" s="148"/>
      <c r="F30" s="148"/>
      <c r="G30" s="148"/>
      <c r="H30" s="148"/>
      <c r="I30" s="148"/>
      <c r="J30" s="149"/>
      <c r="K30" s="55"/>
      <c r="L30" s="55"/>
      <c r="M30" s="55"/>
      <c r="N30" s="149"/>
      <c r="O30" s="55"/>
      <c r="P30" s="55"/>
    </row>
    <row r="31" spans="1:16" ht="13.5" customHeight="1">
      <c r="A31" s="148"/>
      <c r="B31" s="148"/>
      <c r="C31" s="148"/>
      <c r="D31" s="148"/>
      <c r="E31" s="148"/>
      <c r="F31" s="148"/>
      <c r="G31" s="148"/>
      <c r="H31" s="148"/>
      <c r="I31" s="148"/>
      <c r="J31" s="149"/>
      <c r="K31" s="55"/>
      <c r="L31" s="55"/>
      <c r="M31" s="55"/>
      <c r="N31" s="149"/>
      <c r="O31" s="55"/>
      <c r="P31" s="55"/>
    </row>
    <row r="32" spans="1:16" ht="13.5" customHeight="1">
      <c r="A32" s="148"/>
      <c r="B32" s="146"/>
      <c r="C32" s="146"/>
      <c r="D32" s="148"/>
      <c r="E32" s="148"/>
      <c r="F32" s="148"/>
      <c r="G32" s="148"/>
      <c r="H32" s="148"/>
      <c r="I32" s="148"/>
      <c r="J32" s="149"/>
      <c r="K32" s="55"/>
      <c r="L32" s="55"/>
      <c r="M32" s="55"/>
      <c r="N32" s="149"/>
      <c r="O32" s="55"/>
      <c r="P32" s="55"/>
    </row>
    <row r="33" spans="1:16" ht="13.5" customHeight="1">
      <c r="A33" s="148"/>
      <c r="B33" s="148"/>
      <c r="C33" s="148"/>
      <c r="D33" s="148"/>
      <c r="E33" s="148"/>
      <c r="F33" s="148"/>
      <c r="G33" s="148"/>
      <c r="H33" s="148"/>
      <c r="I33" s="148"/>
      <c r="J33" s="149"/>
      <c r="K33" s="55"/>
      <c r="L33" s="55"/>
      <c r="M33" s="55"/>
      <c r="N33" s="149"/>
      <c r="O33" s="55"/>
      <c r="P33" s="55"/>
    </row>
    <row r="34" spans="1:16" ht="13.5" customHeight="1">
      <c r="A34" s="148"/>
      <c r="B34" s="146"/>
      <c r="C34" s="147"/>
      <c r="D34" s="148"/>
      <c r="E34" s="148"/>
      <c r="F34" s="148"/>
      <c r="G34" s="148"/>
      <c r="H34" s="148"/>
      <c r="I34" s="148"/>
      <c r="J34" s="149"/>
      <c r="K34" s="55"/>
      <c r="L34" s="55"/>
      <c r="M34" s="55"/>
      <c r="N34" s="149"/>
      <c r="O34" s="55"/>
      <c r="P34" s="55"/>
    </row>
    <row r="35" spans="1:16" ht="13.5" customHeight="1">
      <c r="A35" s="148"/>
      <c r="B35" s="146"/>
      <c r="C35" s="147"/>
      <c r="D35" s="148"/>
      <c r="E35" s="148"/>
      <c r="F35" s="148"/>
      <c r="G35" s="148"/>
      <c r="H35" s="148"/>
      <c r="I35" s="148"/>
      <c r="J35" s="149"/>
      <c r="K35" s="55"/>
      <c r="L35" s="55"/>
      <c r="M35" s="55"/>
      <c r="N35" s="149"/>
      <c r="O35" s="55"/>
      <c r="P35" s="55"/>
    </row>
    <row r="36" spans="1:16" ht="13.5" customHeight="1">
      <c r="A36" s="148"/>
      <c r="B36" s="146"/>
      <c r="C36" s="147"/>
      <c r="D36" s="148"/>
      <c r="E36" s="148"/>
      <c r="F36" s="148"/>
      <c r="G36" s="148"/>
      <c r="H36" s="148"/>
      <c r="I36" s="148"/>
      <c r="J36" s="149"/>
      <c r="K36" s="55"/>
      <c r="L36" s="55"/>
      <c r="M36" s="55"/>
      <c r="N36" s="149"/>
      <c r="O36" s="55"/>
      <c r="P36" s="55"/>
    </row>
    <row r="37" spans="1:16" ht="13.5" customHeight="1">
      <c r="A37" s="148"/>
      <c r="B37" s="146"/>
      <c r="C37" s="147"/>
      <c r="D37" s="148"/>
      <c r="E37" s="148"/>
      <c r="F37" s="148"/>
      <c r="G37" s="148"/>
      <c r="H37" s="148"/>
      <c r="I37" s="148"/>
      <c r="J37" s="149"/>
      <c r="K37" s="55"/>
      <c r="L37" s="55"/>
      <c r="M37" s="55"/>
      <c r="N37" s="149"/>
      <c r="O37" s="55"/>
      <c r="P37" s="55"/>
    </row>
    <row r="38" spans="1:16" ht="13.5" customHeight="1">
      <c r="A38" s="148"/>
      <c r="B38" s="146"/>
      <c r="C38" s="147"/>
      <c r="D38" s="148"/>
      <c r="E38" s="148"/>
      <c r="F38" s="148"/>
      <c r="G38" s="148"/>
      <c r="H38" s="148"/>
      <c r="I38" s="148"/>
      <c r="J38" s="149"/>
      <c r="K38" s="55"/>
      <c r="L38" s="55"/>
      <c r="M38" s="55"/>
      <c r="N38" s="149"/>
      <c r="O38" s="55"/>
      <c r="P38" s="55"/>
    </row>
    <row r="39" spans="1:16" ht="13.5" customHeight="1">
      <c r="A39" s="148"/>
      <c r="B39" s="148"/>
      <c r="C39" s="148"/>
      <c r="D39" s="148"/>
      <c r="E39" s="148"/>
      <c r="F39" s="148"/>
      <c r="G39" s="148"/>
      <c r="H39" s="148"/>
      <c r="I39" s="148"/>
      <c r="J39" s="149"/>
      <c r="K39" s="55"/>
      <c r="L39" s="55"/>
      <c r="M39" s="55"/>
      <c r="N39" s="149"/>
      <c r="O39" s="55"/>
      <c r="P39" s="55"/>
    </row>
    <row r="40" spans="1:16" ht="13.5" customHeight="1">
      <c r="A40" s="55"/>
      <c r="B40" s="55"/>
      <c r="C40" s="55"/>
      <c r="D40" s="55"/>
      <c r="E40" s="55"/>
      <c r="F40" s="55"/>
      <c r="G40" s="55"/>
      <c r="H40" s="148"/>
      <c r="I40" s="55"/>
      <c r="J40" s="149"/>
      <c r="K40" s="55"/>
      <c r="L40" s="55"/>
      <c r="M40" s="55"/>
      <c r="N40" s="149"/>
      <c r="O40" s="55"/>
      <c r="P40" s="55"/>
    </row>
    <row r="41" spans="1:16" ht="13.5" customHeight="1">
      <c r="A41" s="55"/>
      <c r="B41" s="55"/>
      <c r="C41" s="55"/>
      <c r="D41" s="55"/>
      <c r="E41" s="55"/>
      <c r="F41" s="55"/>
      <c r="G41" s="55"/>
      <c r="H41" s="148"/>
      <c r="I41" s="55"/>
      <c r="J41" s="149"/>
      <c r="K41" s="55"/>
      <c r="L41" s="55"/>
      <c r="M41" s="55"/>
      <c r="N41" s="149"/>
      <c r="O41" s="55"/>
      <c r="P41" s="55"/>
    </row>
    <row r="42" spans="1:16" ht="13.5" customHeight="1">
      <c r="A42" s="55"/>
      <c r="B42" s="55"/>
      <c r="C42" s="55"/>
      <c r="D42" s="55"/>
      <c r="E42" s="55"/>
      <c r="F42" s="55"/>
      <c r="G42" s="55"/>
      <c r="H42" s="148"/>
      <c r="I42" s="55"/>
      <c r="J42" s="149"/>
      <c r="K42" s="55"/>
      <c r="L42" s="55"/>
      <c r="M42" s="55"/>
      <c r="N42" s="149"/>
      <c r="O42" s="55"/>
      <c r="P42" s="55"/>
    </row>
    <row r="43" spans="1:16" ht="13.5" customHeight="1">
      <c r="A43" s="55"/>
      <c r="B43" s="55"/>
      <c r="C43" s="55"/>
      <c r="D43" s="55"/>
      <c r="E43" s="55"/>
      <c r="F43" s="55"/>
      <c r="G43" s="55"/>
      <c r="H43" s="148"/>
      <c r="I43" s="55"/>
      <c r="J43" s="149"/>
      <c r="K43" s="55"/>
      <c r="L43" s="55"/>
      <c r="M43" s="55"/>
      <c r="N43" s="149"/>
      <c r="O43" s="55"/>
      <c r="P43" s="55"/>
    </row>
    <row r="44" spans="1:16" ht="13.5" customHeight="1">
      <c r="A44" s="55"/>
      <c r="B44" s="55"/>
      <c r="C44" s="55"/>
      <c r="D44" s="55"/>
      <c r="E44" s="55"/>
      <c r="F44" s="55"/>
      <c r="G44" s="55"/>
      <c r="H44" s="148"/>
      <c r="I44" s="55"/>
      <c r="J44" s="149"/>
      <c r="K44" s="55"/>
      <c r="L44" s="55"/>
      <c r="M44" s="55"/>
      <c r="N44" s="149"/>
      <c r="O44" s="55"/>
      <c r="P44" s="55"/>
    </row>
    <row r="45" spans="1:16" ht="13.5" customHeight="1">
      <c r="A45" s="55"/>
      <c r="B45" s="55"/>
      <c r="C45" s="55"/>
      <c r="D45" s="55"/>
      <c r="E45" s="55"/>
      <c r="F45" s="55"/>
      <c r="G45" s="55"/>
      <c r="H45" s="148"/>
      <c r="I45" s="55"/>
      <c r="J45" s="149"/>
      <c r="K45" s="55"/>
      <c r="L45" s="55"/>
      <c r="M45" s="55"/>
      <c r="N45" s="149"/>
      <c r="O45" s="55"/>
      <c r="P45" s="55"/>
    </row>
  </sheetData>
  <mergeCells count="10">
    <mergeCell ref="D4:J4"/>
    <mergeCell ref="I1:K1"/>
    <mergeCell ref="A1:E1"/>
    <mergeCell ref="K4:N4"/>
    <mergeCell ref="C4:C5"/>
    <mergeCell ref="B4:B5"/>
    <mergeCell ref="L1:P1"/>
    <mergeCell ref="O4:O5"/>
    <mergeCell ref="P4:P5"/>
    <mergeCell ref="A2:C3"/>
  </mergeCells>
  <printOptions/>
  <pageMargins left="0.3937007874015748" right="0.3937007874015748" top="0.1968503937007874" bottom="0.1968503937007874" header="0" footer="0"/>
  <pageSetup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zoomScale="87" zoomScaleNormal="87" zoomScaleSheetLayoutView="75" workbookViewId="0" topLeftCell="C1">
      <selection activeCell="F29" sqref="F29"/>
    </sheetView>
  </sheetViews>
  <sheetFormatPr defaultColWidth="9.00390625" defaultRowHeight="12.75"/>
  <cols>
    <col min="1" max="1" width="3.25390625" style="0" customWidth="1"/>
    <col min="2" max="2" width="19.75390625" style="0" customWidth="1"/>
    <col min="3" max="3" width="17.75390625" style="0" customWidth="1"/>
    <col min="4" max="4" width="8.875" style="0" customWidth="1"/>
    <col min="5" max="5" width="7.75390625" style="0" customWidth="1"/>
    <col min="6" max="6" width="8.375" style="0" customWidth="1"/>
    <col min="7" max="8" width="6.75390625" style="0" customWidth="1"/>
    <col min="9" max="9" width="8.375" style="0" customWidth="1"/>
    <col min="10" max="10" width="8.75390625" style="0" customWidth="1"/>
    <col min="11" max="11" width="16.75390625" style="0" customWidth="1"/>
    <col min="12" max="12" width="12.75390625" style="0" customWidth="1"/>
    <col min="13" max="15" width="8.75390625" style="0" customWidth="1"/>
    <col min="16" max="16" width="7.75390625" style="0" customWidth="1"/>
  </cols>
  <sheetData>
    <row r="1" spans="1:16" ht="16.5" customHeight="1" thickBot="1">
      <c r="A1" s="181" t="s">
        <v>144</v>
      </c>
      <c r="B1" s="181"/>
      <c r="C1" s="181"/>
      <c r="D1" s="181"/>
      <c r="E1" s="181"/>
      <c r="F1" s="2"/>
      <c r="G1" s="2"/>
      <c r="H1" s="2" t="s">
        <v>0</v>
      </c>
      <c r="I1" s="180" t="s">
        <v>242</v>
      </c>
      <c r="J1" s="180"/>
      <c r="K1" s="180"/>
      <c r="L1" s="188" t="s">
        <v>241</v>
      </c>
      <c r="M1" s="188"/>
      <c r="N1" s="188"/>
      <c r="O1" s="188"/>
      <c r="P1" s="188"/>
    </row>
    <row r="2" spans="1:12" ht="12" customHeight="1">
      <c r="A2" s="188" t="s">
        <v>129</v>
      </c>
      <c r="B2" s="188"/>
      <c r="C2" s="188"/>
      <c r="D2" s="18" t="s">
        <v>145</v>
      </c>
      <c r="E2" s="34" t="s">
        <v>235</v>
      </c>
      <c r="F2" s="19" t="s">
        <v>85</v>
      </c>
      <c r="G2" s="10">
        <v>41</v>
      </c>
      <c r="K2" s="18" t="s">
        <v>13</v>
      </c>
      <c r="L2" s="32" t="s">
        <v>240</v>
      </c>
    </row>
    <row r="3" spans="1:12" ht="12" customHeight="1" thickBot="1">
      <c r="A3" s="193"/>
      <c r="B3" s="193"/>
      <c r="C3" s="193"/>
      <c r="D3" s="21" t="s">
        <v>146</v>
      </c>
      <c r="E3" s="35" t="s">
        <v>225</v>
      </c>
      <c r="F3" s="22" t="s">
        <v>86</v>
      </c>
      <c r="G3" s="16">
        <v>82</v>
      </c>
      <c r="K3" s="21" t="s">
        <v>14</v>
      </c>
      <c r="L3" s="33" t="s">
        <v>227</v>
      </c>
    </row>
    <row r="4" spans="1:16" ht="13.5" customHeight="1" thickBot="1">
      <c r="A4" s="3" t="s">
        <v>1</v>
      </c>
      <c r="B4" s="186" t="s">
        <v>2</v>
      </c>
      <c r="C4" s="171" t="s">
        <v>3</v>
      </c>
      <c r="D4" s="176" t="s">
        <v>4</v>
      </c>
      <c r="E4" s="184"/>
      <c r="F4" s="184"/>
      <c r="G4" s="184"/>
      <c r="H4" s="184"/>
      <c r="I4" s="184"/>
      <c r="J4" s="185"/>
      <c r="K4" s="176" t="s">
        <v>5</v>
      </c>
      <c r="L4" s="184"/>
      <c r="M4" s="184"/>
      <c r="N4" s="185"/>
      <c r="O4" s="189" t="s">
        <v>6</v>
      </c>
      <c r="P4" s="191" t="s">
        <v>7</v>
      </c>
    </row>
    <row r="5" spans="1:16" ht="35.25" customHeight="1" thickBot="1">
      <c r="A5" s="5" t="s">
        <v>8</v>
      </c>
      <c r="B5" s="173"/>
      <c r="C5" s="172"/>
      <c r="D5" s="6" t="s">
        <v>9</v>
      </c>
      <c r="E5" s="6" t="s">
        <v>10</v>
      </c>
      <c r="F5" s="6" t="s">
        <v>11</v>
      </c>
      <c r="G5" s="6" t="s">
        <v>12</v>
      </c>
      <c r="H5" s="28" t="s">
        <v>139</v>
      </c>
      <c r="I5" s="77" t="s">
        <v>141</v>
      </c>
      <c r="J5" s="29" t="s">
        <v>140</v>
      </c>
      <c r="K5" s="7" t="s">
        <v>13</v>
      </c>
      <c r="L5" s="7" t="s">
        <v>14</v>
      </c>
      <c r="M5" s="7" t="s">
        <v>10</v>
      </c>
      <c r="N5" s="29" t="s">
        <v>15</v>
      </c>
      <c r="O5" s="190"/>
      <c r="P5" s="192"/>
    </row>
    <row r="6" spans="1:19" ht="13.5" customHeight="1">
      <c r="A6" s="47">
        <v>6</v>
      </c>
      <c r="B6" s="48" t="s">
        <v>51</v>
      </c>
      <c r="C6" s="130" t="s">
        <v>99</v>
      </c>
      <c r="D6" s="131">
        <v>5</v>
      </c>
      <c r="E6" s="27">
        <v>35.7</v>
      </c>
      <c r="F6" s="27">
        <v>0</v>
      </c>
      <c r="G6" s="27">
        <f aca="true" t="shared" si="0" ref="G6:G20">F6+D6</f>
        <v>5</v>
      </c>
      <c r="H6" s="86">
        <v>4</v>
      </c>
      <c r="I6" s="86"/>
      <c r="J6" s="82">
        <f aca="true" t="shared" si="1" ref="J6:J20">120-D6-E6</f>
        <v>79.3</v>
      </c>
      <c r="K6" s="18">
        <f>3+1+3+5+5+3+1+5+7+7</f>
        <v>40</v>
      </c>
      <c r="L6" s="19">
        <v>16</v>
      </c>
      <c r="M6" s="9">
        <v>40.2</v>
      </c>
      <c r="N6" s="82">
        <f aca="true" t="shared" si="2" ref="N6:N23">K6+L6</f>
        <v>56</v>
      </c>
      <c r="O6" s="116">
        <f aca="true" t="shared" si="3" ref="O6:O15">J6+N6</f>
        <v>135.3</v>
      </c>
      <c r="P6" s="113">
        <v>1</v>
      </c>
      <c r="Q6" s="36"/>
      <c r="R6" s="36"/>
      <c r="S6" s="36"/>
    </row>
    <row r="7" spans="1:19" ht="13.5" customHeight="1">
      <c r="A7" s="70">
        <v>11</v>
      </c>
      <c r="B7" s="74" t="s">
        <v>22</v>
      </c>
      <c r="C7" s="75" t="s">
        <v>98</v>
      </c>
      <c r="D7" s="72">
        <v>5</v>
      </c>
      <c r="E7" s="73">
        <v>37.2</v>
      </c>
      <c r="F7" s="73">
        <v>0</v>
      </c>
      <c r="G7" s="73">
        <f t="shared" si="0"/>
        <v>5</v>
      </c>
      <c r="H7" s="79">
        <v>5</v>
      </c>
      <c r="I7" s="85">
        <v>3</v>
      </c>
      <c r="J7" s="83">
        <f t="shared" si="1"/>
        <v>77.8</v>
      </c>
      <c r="K7" s="63">
        <f>1+3+5+1+5+3+5+5+7</f>
        <v>35</v>
      </c>
      <c r="L7" s="60">
        <v>16</v>
      </c>
      <c r="M7" s="12">
        <v>44.2</v>
      </c>
      <c r="N7" s="83">
        <f t="shared" si="2"/>
        <v>51</v>
      </c>
      <c r="O7" s="115">
        <f t="shared" si="3"/>
        <v>128.8</v>
      </c>
      <c r="P7" s="114">
        <v>2</v>
      </c>
      <c r="Q7" s="36"/>
      <c r="R7" s="36"/>
      <c r="S7" s="36"/>
    </row>
    <row r="8" spans="1:19" ht="13.5" customHeight="1">
      <c r="A8" s="70">
        <v>7</v>
      </c>
      <c r="B8" s="74" t="s">
        <v>196</v>
      </c>
      <c r="C8" s="75" t="s">
        <v>213</v>
      </c>
      <c r="D8" s="72">
        <v>5</v>
      </c>
      <c r="E8" s="73">
        <v>37.4</v>
      </c>
      <c r="F8" s="73">
        <v>0</v>
      </c>
      <c r="G8" s="73">
        <f t="shared" si="0"/>
        <v>5</v>
      </c>
      <c r="H8" s="79">
        <v>6</v>
      </c>
      <c r="I8" s="79">
        <v>4</v>
      </c>
      <c r="J8" s="83">
        <f t="shared" si="1"/>
        <v>77.6</v>
      </c>
      <c r="K8" s="63">
        <f>3+3+5+7+5+5+7</f>
        <v>35</v>
      </c>
      <c r="L8" s="60">
        <v>16</v>
      </c>
      <c r="M8" s="12">
        <v>38.9</v>
      </c>
      <c r="N8" s="83">
        <f t="shared" si="2"/>
        <v>51</v>
      </c>
      <c r="O8" s="115">
        <f t="shared" si="3"/>
        <v>128.6</v>
      </c>
      <c r="P8" s="114">
        <v>3</v>
      </c>
      <c r="Q8" s="36"/>
      <c r="R8" s="36"/>
      <c r="S8" s="36"/>
    </row>
    <row r="9" spans="1:19" ht="13.5" customHeight="1">
      <c r="A9" s="40">
        <v>13</v>
      </c>
      <c r="B9" s="31" t="s">
        <v>101</v>
      </c>
      <c r="C9" s="45" t="s">
        <v>121</v>
      </c>
      <c r="D9" s="37">
        <v>5</v>
      </c>
      <c r="E9" s="25">
        <v>31.8</v>
      </c>
      <c r="F9" s="25">
        <v>0</v>
      </c>
      <c r="G9" s="25">
        <f t="shared" si="0"/>
        <v>5</v>
      </c>
      <c r="H9" s="87">
        <v>3</v>
      </c>
      <c r="I9" s="80"/>
      <c r="J9" s="83">
        <f t="shared" si="1"/>
        <v>83.2</v>
      </c>
      <c r="K9" s="63">
        <f>5+7+1+7+5+1+3+5+1+5</f>
        <v>40</v>
      </c>
      <c r="L9" s="60">
        <v>0</v>
      </c>
      <c r="M9" s="91">
        <v>38</v>
      </c>
      <c r="N9" s="83">
        <f t="shared" si="2"/>
        <v>40</v>
      </c>
      <c r="O9" s="115">
        <f t="shared" si="3"/>
        <v>123.2</v>
      </c>
      <c r="P9" s="65">
        <v>4</v>
      </c>
      <c r="Q9" s="36"/>
      <c r="R9" s="36"/>
      <c r="S9" s="36"/>
    </row>
    <row r="10" spans="1:19" ht="13.5" customHeight="1">
      <c r="A10" s="70">
        <v>2</v>
      </c>
      <c r="B10" s="74" t="s">
        <v>58</v>
      </c>
      <c r="C10" s="75" t="s">
        <v>100</v>
      </c>
      <c r="D10" s="72">
        <v>0</v>
      </c>
      <c r="E10" s="73">
        <v>43.2</v>
      </c>
      <c r="F10" s="73">
        <f aca="true" t="shared" si="4" ref="F10:F15">E10-41</f>
        <v>2.200000000000003</v>
      </c>
      <c r="G10" s="73">
        <f t="shared" si="0"/>
        <v>2.200000000000003</v>
      </c>
      <c r="H10" s="85">
        <v>2</v>
      </c>
      <c r="I10" s="85">
        <v>2</v>
      </c>
      <c r="J10" s="83">
        <f t="shared" si="1"/>
        <v>76.8</v>
      </c>
      <c r="K10" s="63">
        <f>1+3+5+1+1+7+1+5</f>
        <v>24</v>
      </c>
      <c r="L10" s="60">
        <v>16</v>
      </c>
      <c r="M10" s="12">
        <v>40.6</v>
      </c>
      <c r="N10" s="83">
        <f t="shared" si="2"/>
        <v>40</v>
      </c>
      <c r="O10" s="115">
        <f t="shared" si="3"/>
        <v>116.8</v>
      </c>
      <c r="P10" s="65">
        <v>5</v>
      </c>
      <c r="Q10" s="36"/>
      <c r="R10" s="36"/>
      <c r="S10" s="36"/>
    </row>
    <row r="11" spans="1:19" ht="13.5" customHeight="1">
      <c r="A11" s="70">
        <v>8</v>
      </c>
      <c r="B11" s="74" t="s">
        <v>77</v>
      </c>
      <c r="C11" s="75" t="s">
        <v>78</v>
      </c>
      <c r="D11" s="72">
        <v>10</v>
      </c>
      <c r="E11" s="73">
        <v>41.9</v>
      </c>
      <c r="F11" s="73">
        <f t="shared" si="4"/>
        <v>0.8999999999999986</v>
      </c>
      <c r="G11" s="73">
        <f t="shared" si="0"/>
        <v>10.899999999999999</v>
      </c>
      <c r="H11" s="79">
        <v>10</v>
      </c>
      <c r="I11" s="79">
        <v>8</v>
      </c>
      <c r="J11" s="83">
        <f t="shared" si="1"/>
        <v>68.1</v>
      </c>
      <c r="K11" s="63">
        <f>5+7+5+3+5+5</f>
        <v>30</v>
      </c>
      <c r="L11" s="60">
        <v>16</v>
      </c>
      <c r="M11" s="12">
        <v>38.1</v>
      </c>
      <c r="N11" s="83">
        <f t="shared" si="2"/>
        <v>46</v>
      </c>
      <c r="O11" s="115">
        <f t="shared" si="3"/>
        <v>114.1</v>
      </c>
      <c r="P11" s="65">
        <v>6</v>
      </c>
      <c r="Q11" s="36"/>
      <c r="R11" s="36"/>
      <c r="S11" s="36"/>
    </row>
    <row r="12" spans="1:19" ht="13.5" customHeight="1">
      <c r="A12" s="40">
        <v>5</v>
      </c>
      <c r="B12" s="44" t="s">
        <v>79</v>
      </c>
      <c r="C12" s="49" t="s">
        <v>80</v>
      </c>
      <c r="D12" s="37">
        <v>10</v>
      </c>
      <c r="E12" s="78">
        <v>48</v>
      </c>
      <c r="F12" s="25">
        <f t="shared" si="4"/>
        <v>7</v>
      </c>
      <c r="G12" s="25">
        <f t="shared" si="0"/>
        <v>17</v>
      </c>
      <c r="H12" s="80">
        <v>12</v>
      </c>
      <c r="I12" s="80"/>
      <c r="J12" s="83">
        <f t="shared" si="1"/>
        <v>62</v>
      </c>
      <c r="K12" s="63">
        <f>5+7+7+5+1+3+5</f>
        <v>33</v>
      </c>
      <c r="L12" s="60">
        <v>16</v>
      </c>
      <c r="M12" s="12">
        <v>39.1</v>
      </c>
      <c r="N12" s="83">
        <f t="shared" si="2"/>
        <v>49</v>
      </c>
      <c r="O12" s="115">
        <f t="shared" si="3"/>
        <v>111</v>
      </c>
      <c r="P12" s="65">
        <v>7</v>
      </c>
      <c r="Q12" s="36"/>
      <c r="R12" s="36"/>
      <c r="S12" s="36"/>
    </row>
    <row r="13" spans="1:19" ht="13.5" customHeight="1">
      <c r="A13" s="70">
        <v>9</v>
      </c>
      <c r="B13" s="68" t="s">
        <v>216</v>
      </c>
      <c r="C13" s="71" t="s">
        <v>217</v>
      </c>
      <c r="D13" s="72">
        <v>0</v>
      </c>
      <c r="E13" s="73">
        <v>41.8</v>
      </c>
      <c r="F13" s="73">
        <f t="shared" si="4"/>
        <v>0.7999999999999972</v>
      </c>
      <c r="G13" s="73">
        <f t="shared" si="0"/>
        <v>0.7999999999999972</v>
      </c>
      <c r="H13" s="85">
        <v>1</v>
      </c>
      <c r="I13" s="85">
        <v>1</v>
      </c>
      <c r="J13" s="83">
        <f t="shared" si="1"/>
        <v>78.2</v>
      </c>
      <c r="K13" s="63">
        <f>5+7+5+1+3</f>
        <v>21</v>
      </c>
      <c r="L13" s="60">
        <v>8</v>
      </c>
      <c r="M13" s="12">
        <v>40.7</v>
      </c>
      <c r="N13" s="83">
        <f t="shared" si="2"/>
        <v>29</v>
      </c>
      <c r="O13" s="115">
        <f t="shared" si="3"/>
        <v>107.2</v>
      </c>
      <c r="P13" s="65">
        <v>8</v>
      </c>
      <c r="Q13" s="36"/>
      <c r="R13" s="36"/>
      <c r="S13" s="36"/>
    </row>
    <row r="14" spans="1:19" ht="13.5" customHeight="1">
      <c r="A14" s="70">
        <v>4</v>
      </c>
      <c r="B14" s="74" t="s">
        <v>37</v>
      </c>
      <c r="C14" s="75" t="s">
        <v>38</v>
      </c>
      <c r="D14" s="72">
        <v>0</v>
      </c>
      <c r="E14" s="73">
        <v>49.3</v>
      </c>
      <c r="F14" s="73">
        <f t="shared" si="4"/>
        <v>8.299999999999997</v>
      </c>
      <c r="G14" s="73">
        <f t="shared" si="0"/>
        <v>8.299999999999997</v>
      </c>
      <c r="H14" s="79">
        <v>7</v>
      </c>
      <c r="I14" s="79">
        <v>5</v>
      </c>
      <c r="J14" s="83">
        <f t="shared" si="1"/>
        <v>70.7</v>
      </c>
      <c r="K14" s="63">
        <f>1+5+3+7+1+7+1+5+3</f>
        <v>33</v>
      </c>
      <c r="L14" s="60">
        <v>0</v>
      </c>
      <c r="M14" s="12">
        <v>39.8</v>
      </c>
      <c r="N14" s="83">
        <f t="shared" si="2"/>
        <v>33</v>
      </c>
      <c r="O14" s="115">
        <f t="shared" si="3"/>
        <v>103.7</v>
      </c>
      <c r="P14" s="65">
        <v>9</v>
      </c>
      <c r="Q14" s="36"/>
      <c r="R14" s="36"/>
      <c r="S14" s="36"/>
    </row>
    <row r="15" spans="1:19" ht="13.5" customHeight="1">
      <c r="A15" s="40">
        <v>20</v>
      </c>
      <c r="B15" s="44" t="s">
        <v>43</v>
      </c>
      <c r="C15" s="46" t="s">
        <v>143</v>
      </c>
      <c r="D15" s="37">
        <v>5</v>
      </c>
      <c r="E15" s="25">
        <v>47.5</v>
      </c>
      <c r="F15" s="25">
        <f t="shared" si="4"/>
        <v>6.5</v>
      </c>
      <c r="G15" s="25">
        <f t="shared" si="0"/>
        <v>11.5</v>
      </c>
      <c r="H15" s="80">
        <v>11</v>
      </c>
      <c r="I15" s="80"/>
      <c r="J15" s="83">
        <f t="shared" si="1"/>
        <v>67.5</v>
      </c>
      <c r="K15" s="63">
        <f>1+5+1+7+1+3+5+1+1+1+1</f>
        <v>27</v>
      </c>
      <c r="L15" s="60">
        <v>8</v>
      </c>
      <c r="M15" s="12">
        <v>39.5</v>
      </c>
      <c r="N15" s="83">
        <f t="shared" si="2"/>
        <v>35</v>
      </c>
      <c r="O15" s="115">
        <f t="shared" si="3"/>
        <v>102.5</v>
      </c>
      <c r="P15" s="65">
        <v>10</v>
      </c>
      <c r="Q15" s="36"/>
      <c r="R15" s="36"/>
      <c r="S15" s="36"/>
    </row>
    <row r="16" spans="1:19" ht="13.5" customHeight="1">
      <c r="A16" s="70">
        <v>1</v>
      </c>
      <c r="B16" s="74" t="s">
        <v>41</v>
      </c>
      <c r="C16" s="129" t="s">
        <v>42</v>
      </c>
      <c r="D16" s="72">
        <v>10</v>
      </c>
      <c r="E16" s="109">
        <v>36</v>
      </c>
      <c r="F16" s="73">
        <v>0</v>
      </c>
      <c r="G16" s="73">
        <f t="shared" si="0"/>
        <v>10</v>
      </c>
      <c r="H16" s="79">
        <v>8</v>
      </c>
      <c r="I16" s="79">
        <v>6</v>
      </c>
      <c r="J16" s="83">
        <f t="shared" si="1"/>
        <v>74</v>
      </c>
      <c r="K16" s="63">
        <f>1+5+1+3+1+5+1+3</f>
        <v>20</v>
      </c>
      <c r="L16" s="60">
        <v>0</v>
      </c>
      <c r="M16" s="91">
        <v>42</v>
      </c>
      <c r="N16" s="83">
        <f t="shared" si="2"/>
        <v>20</v>
      </c>
      <c r="O16" s="115">
        <f>N16+J16</f>
        <v>94</v>
      </c>
      <c r="P16" s="65">
        <v>11</v>
      </c>
      <c r="Q16" s="36"/>
      <c r="R16" s="36"/>
      <c r="S16" s="36"/>
    </row>
    <row r="17" spans="1:19" ht="13.5" customHeight="1">
      <c r="A17" s="70">
        <v>19</v>
      </c>
      <c r="B17" s="68" t="s">
        <v>196</v>
      </c>
      <c r="C17" s="71" t="s">
        <v>214</v>
      </c>
      <c r="D17" s="72">
        <v>25</v>
      </c>
      <c r="E17" s="73">
        <v>44.9</v>
      </c>
      <c r="F17" s="73">
        <f>E17-41</f>
        <v>3.8999999999999986</v>
      </c>
      <c r="G17" s="73">
        <f t="shared" si="0"/>
        <v>28.9</v>
      </c>
      <c r="H17" s="79">
        <v>14</v>
      </c>
      <c r="I17" s="79">
        <v>9</v>
      </c>
      <c r="J17" s="83">
        <f t="shared" si="1"/>
        <v>50.1</v>
      </c>
      <c r="K17" s="63">
        <f>3+3+3+3+5+1+7+7+1+5</f>
        <v>38</v>
      </c>
      <c r="L17" s="60">
        <v>0</v>
      </c>
      <c r="M17" s="12">
        <v>39.8</v>
      </c>
      <c r="N17" s="83">
        <f t="shared" si="2"/>
        <v>38</v>
      </c>
      <c r="O17" s="115">
        <f aca="true" t="shared" si="5" ref="O17:O24">J17+N17</f>
        <v>88.1</v>
      </c>
      <c r="P17" s="65">
        <v>12</v>
      </c>
      <c r="Q17" s="36"/>
      <c r="R17" s="36"/>
      <c r="S17" s="36"/>
    </row>
    <row r="18" spans="1:19" ht="13.5" customHeight="1">
      <c r="A18" s="70">
        <v>10</v>
      </c>
      <c r="B18" s="68" t="s">
        <v>161</v>
      </c>
      <c r="C18" s="71" t="s">
        <v>162</v>
      </c>
      <c r="D18" s="72">
        <v>5</v>
      </c>
      <c r="E18" s="73">
        <v>46.7</v>
      </c>
      <c r="F18" s="73">
        <f>E18-41</f>
        <v>5.700000000000003</v>
      </c>
      <c r="G18" s="73">
        <f t="shared" si="0"/>
        <v>10.700000000000003</v>
      </c>
      <c r="H18" s="79">
        <v>9</v>
      </c>
      <c r="I18" s="79">
        <v>7</v>
      </c>
      <c r="J18" s="83">
        <f t="shared" si="1"/>
        <v>68.3</v>
      </c>
      <c r="K18" s="63">
        <f>1+5+1+3</f>
        <v>10</v>
      </c>
      <c r="L18" s="60">
        <v>8</v>
      </c>
      <c r="M18" s="12">
        <v>42.1</v>
      </c>
      <c r="N18" s="83">
        <f t="shared" si="2"/>
        <v>18</v>
      </c>
      <c r="O18" s="115">
        <f t="shared" si="5"/>
        <v>86.3</v>
      </c>
      <c r="P18" s="65">
        <v>13</v>
      </c>
      <c r="Q18" s="36"/>
      <c r="R18" s="36"/>
      <c r="S18" s="36"/>
    </row>
    <row r="19" spans="1:19" ht="13.5" customHeight="1">
      <c r="A19" s="40">
        <v>18</v>
      </c>
      <c r="B19" s="44" t="s">
        <v>172</v>
      </c>
      <c r="C19" s="49" t="s">
        <v>173</v>
      </c>
      <c r="D19" s="37">
        <v>10</v>
      </c>
      <c r="E19" s="25">
        <v>71.1</v>
      </c>
      <c r="F19" s="25">
        <f>E19-41</f>
        <v>30.099999999999994</v>
      </c>
      <c r="G19" s="25">
        <f t="shared" si="0"/>
        <v>40.099999999999994</v>
      </c>
      <c r="H19" s="80">
        <v>15</v>
      </c>
      <c r="I19" s="80"/>
      <c r="J19" s="83">
        <f t="shared" si="1"/>
        <v>38.900000000000006</v>
      </c>
      <c r="K19" s="63">
        <f>1+3+5+1+1+5+3+1</f>
        <v>20</v>
      </c>
      <c r="L19" s="60">
        <v>16</v>
      </c>
      <c r="M19" s="12">
        <v>44.3</v>
      </c>
      <c r="N19" s="83">
        <f t="shared" si="2"/>
        <v>36</v>
      </c>
      <c r="O19" s="115">
        <f t="shared" si="5"/>
        <v>74.9</v>
      </c>
      <c r="P19" s="65">
        <v>14</v>
      </c>
      <c r="Q19" s="36"/>
      <c r="R19" s="36"/>
      <c r="S19" s="36"/>
    </row>
    <row r="20" spans="1:19" ht="13.5" customHeight="1">
      <c r="A20" s="40">
        <v>12</v>
      </c>
      <c r="B20" s="44" t="s">
        <v>148</v>
      </c>
      <c r="C20" s="46" t="s">
        <v>149</v>
      </c>
      <c r="D20" s="37">
        <v>25</v>
      </c>
      <c r="E20" s="78">
        <v>37</v>
      </c>
      <c r="F20" s="25">
        <v>0</v>
      </c>
      <c r="G20" s="25">
        <f t="shared" si="0"/>
        <v>25</v>
      </c>
      <c r="H20" s="80">
        <v>13</v>
      </c>
      <c r="I20" s="80"/>
      <c r="J20" s="83">
        <f t="shared" si="1"/>
        <v>58</v>
      </c>
      <c r="K20" s="63">
        <f>5+5+3+3</f>
        <v>16</v>
      </c>
      <c r="L20" s="60">
        <v>0</v>
      </c>
      <c r="M20" s="12">
        <v>40.3</v>
      </c>
      <c r="N20" s="83">
        <f t="shared" si="2"/>
        <v>16</v>
      </c>
      <c r="O20" s="115">
        <f t="shared" si="5"/>
        <v>74</v>
      </c>
      <c r="P20" s="65">
        <v>15</v>
      </c>
      <c r="Q20" s="36"/>
      <c r="R20" s="36"/>
      <c r="S20" s="36"/>
    </row>
    <row r="21" spans="1:19" ht="13.5" customHeight="1">
      <c r="A21" s="70">
        <v>16</v>
      </c>
      <c r="B21" s="74" t="s">
        <v>194</v>
      </c>
      <c r="C21" s="69" t="s">
        <v>215</v>
      </c>
      <c r="D21" s="72"/>
      <c r="E21" s="79" t="s">
        <v>228</v>
      </c>
      <c r="F21" s="73"/>
      <c r="G21" s="73">
        <v>121</v>
      </c>
      <c r="H21" s="79" t="s">
        <v>229</v>
      </c>
      <c r="I21" s="79" t="s">
        <v>229</v>
      </c>
      <c r="J21" s="83">
        <v>0</v>
      </c>
      <c r="K21" s="63">
        <f>1+7+5+5</f>
        <v>18</v>
      </c>
      <c r="L21" s="60">
        <v>16</v>
      </c>
      <c r="M21" s="12">
        <v>42.6</v>
      </c>
      <c r="N21" s="83">
        <f t="shared" si="2"/>
        <v>34</v>
      </c>
      <c r="O21" s="115">
        <f t="shared" si="5"/>
        <v>34</v>
      </c>
      <c r="P21" s="65">
        <v>16</v>
      </c>
      <c r="Q21" s="36"/>
      <c r="R21" s="36"/>
      <c r="S21" s="36"/>
    </row>
    <row r="22" spans="1:19" ht="13.5" customHeight="1">
      <c r="A22" s="70">
        <v>17</v>
      </c>
      <c r="B22" s="74" t="s">
        <v>39</v>
      </c>
      <c r="C22" s="71" t="s">
        <v>40</v>
      </c>
      <c r="D22" s="72"/>
      <c r="E22" s="79" t="s">
        <v>228</v>
      </c>
      <c r="F22" s="73"/>
      <c r="G22" s="73">
        <v>122</v>
      </c>
      <c r="H22" s="79" t="s">
        <v>229</v>
      </c>
      <c r="I22" s="79" t="s">
        <v>229</v>
      </c>
      <c r="J22" s="83">
        <v>0</v>
      </c>
      <c r="K22" s="63">
        <f>1+3+5+5+3+1+1+3</f>
        <v>22</v>
      </c>
      <c r="L22" s="60">
        <v>8</v>
      </c>
      <c r="M22" s="12">
        <v>39.8</v>
      </c>
      <c r="N22" s="83">
        <f t="shared" si="2"/>
        <v>30</v>
      </c>
      <c r="O22" s="115">
        <f t="shared" si="5"/>
        <v>30</v>
      </c>
      <c r="P22" s="65">
        <v>17</v>
      </c>
      <c r="Q22" s="36"/>
      <c r="R22" s="36"/>
      <c r="S22" s="36"/>
    </row>
    <row r="23" spans="1:19" ht="13.5" customHeight="1">
      <c r="A23" s="70">
        <v>15</v>
      </c>
      <c r="B23" s="74" t="s">
        <v>170</v>
      </c>
      <c r="C23" s="69" t="s">
        <v>171</v>
      </c>
      <c r="D23" s="72"/>
      <c r="E23" s="79" t="s">
        <v>228</v>
      </c>
      <c r="F23" s="73"/>
      <c r="G23" s="73">
        <v>120</v>
      </c>
      <c r="H23" s="79" t="s">
        <v>229</v>
      </c>
      <c r="I23" s="79" t="s">
        <v>229</v>
      </c>
      <c r="J23" s="83">
        <v>0</v>
      </c>
      <c r="K23" s="63">
        <f>1+3+5+1+7+7</f>
        <v>24</v>
      </c>
      <c r="L23" s="60">
        <v>0</v>
      </c>
      <c r="M23" s="12">
        <v>50.8</v>
      </c>
      <c r="N23" s="83">
        <f t="shared" si="2"/>
        <v>24</v>
      </c>
      <c r="O23" s="115">
        <f t="shared" si="5"/>
        <v>24</v>
      </c>
      <c r="P23" s="65">
        <v>18</v>
      </c>
      <c r="Q23" s="36"/>
      <c r="R23" s="36"/>
      <c r="S23" s="36"/>
    </row>
    <row r="24" spans="1:19" ht="13.5" customHeight="1">
      <c r="A24" s="70">
        <v>3</v>
      </c>
      <c r="B24" s="68" t="s">
        <v>160</v>
      </c>
      <c r="C24" s="71" t="s">
        <v>150</v>
      </c>
      <c r="D24" s="72"/>
      <c r="E24" s="79" t="s">
        <v>228</v>
      </c>
      <c r="F24" s="73"/>
      <c r="G24" s="73">
        <v>120</v>
      </c>
      <c r="H24" s="79" t="s">
        <v>229</v>
      </c>
      <c r="I24" s="79" t="s">
        <v>229</v>
      </c>
      <c r="J24" s="83">
        <v>0</v>
      </c>
      <c r="K24" s="63"/>
      <c r="L24" s="60" t="s">
        <v>239</v>
      </c>
      <c r="M24" s="12"/>
      <c r="N24" s="83">
        <v>0</v>
      </c>
      <c r="O24" s="115">
        <f t="shared" si="5"/>
        <v>0</v>
      </c>
      <c r="P24" s="65" t="s">
        <v>229</v>
      </c>
      <c r="Q24" s="36"/>
      <c r="R24" s="36"/>
      <c r="S24" s="36"/>
    </row>
    <row r="25" spans="1:19" ht="13.5" customHeight="1">
      <c r="A25" s="40">
        <v>14</v>
      </c>
      <c r="B25" s="44" t="s">
        <v>53</v>
      </c>
      <c r="C25" s="46" t="s">
        <v>127</v>
      </c>
      <c r="D25" s="37"/>
      <c r="E25" s="80" t="s">
        <v>237</v>
      </c>
      <c r="F25" s="25"/>
      <c r="G25" s="25">
        <v>120</v>
      </c>
      <c r="H25" s="80" t="s">
        <v>229</v>
      </c>
      <c r="I25" s="80"/>
      <c r="J25" s="83">
        <v>0</v>
      </c>
      <c r="K25" s="63"/>
      <c r="L25" s="60" t="s">
        <v>237</v>
      </c>
      <c r="M25" s="12"/>
      <c r="N25" s="83">
        <v>0</v>
      </c>
      <c r="O25" s="115">
        <v>0</v>
      </c>
      <c r="P25" s="65" t="s">
        <v>229</v>
      </c>
      <c r="Q25" s="36"/>
      <c r="R25" s="36"/>
      <c r="S25" s="36"/>
    </row>
    <row r="26" spans="1:16" ht="13.5" customHeight="1">
      <c r="A26" s="143"/>
      <c r="B26" s="150"/>
      <c r="C26" s="150"/>
      <c r="D26" s="143"/>
      <c r="E26" s="143"/>
      <c r="F26" s="143"/>
      <c r="G26" s="143"/>
      <c r="H26" s="143"/>
      <c r="I26" s="143"/>
      <c r="J26" s="144"/>
      <c r="K26" s="145"/>
      <c r="L26" s="145"/>
      <c r="M26" s="145"/>
      <c r="N26" s="144"/>
      <c r="O26" s="145"/>
      <c r="P26" s="145"/>
    </row>
    <row r="27" spans="1:16" ht="13.5" customHeight="1">
      <c r="A27" s="148"/>
      <c r="B27" s="146"/>
      <c r="C27" s="147"/>
      <c r="D27" s="148"/>
      <c r="E27" s="148"/>
      <c r="F27" s="148"/>
      <c r="G27" s="148"/>
      <c r="H27" s="148"/>
      <c r="I27" s="148"/>
      <c r="J27" s="149"/>
      <c r="K27" s="55"/>
      <c r="L27" s="55"/>
      <c r="M27" s="55"/>
      <c r="N27" s="149"/>
      <c r="O27" s="55"/>
      <c r="P27" s="55"/>
    </row>
    <row r="28" spans="1:16" ht="13.5" customHeight="1">
      <c r="A28" s="148"/>
      <c r="B28" s="146"/>
      <c r="C28" s="147"/>
      <c r="D28" s="148"/>
      <c r="E28" s="148"/>
      <c r="F28" s="148"/>
      <c r="G28" s="148"/>
      <c r="H28" s="148"/>
      <c r="I28" s="148"/>
      <c r="J28" s="149"/>
      <c r="K28" s="55"/>
      <c r="L28" s="55"/>
      <c r="M28" s="55"/>
      <c r="N28" s="149"/>
      <c r="O28" s="55"/>
      <c r="P28" s="55"/>
    </row>
    <row r="29" spans="1:16" ht="13.5" customHeight="1">
      <c r="A29" s="148"/>
      <c r="B29" s="146"/>
      <c r="C29" s="147"/>
      <c r="D29" s="148"/>
      <c r="E29" s="148"/>
      <c r="F29" s="148"/>
      <c r="G29" s="148"/>
      <c r="H29" s="148"/>
      <c r="I29" s="148"/>
      <c r="J29" s="149"/>
      <c r="K29" s="55"/>
      <c r="L29" s="55"/>
      <c r="M29" s="55"/>
      <c r="N29" s="149"/>
      <c r="O29" s="55"/>
      <c r="P29" s="55"/>
    </row>
    <row r="30" spans="1:16" ht="13.5" customHeight="1">
      <c r="A30" s="148"/>
      <c r="B30" s="148"/>
      <c r="C30" s="148"/>
      <c r="D30" s="148"/>
      <c r="E30" s="148"/>
      <c r="F30" s="148"/>
      <c r="G30" s="148"/>
      <c r="H30" s="148"/>
      <c r="I30" s="148"/>
      <c r="J30" s="149"/>
      <c r="K30" s="55"/>
      <c r="L30" s="55"/>
      <c r="M30" s="55"/>
      <c r="N30" s="149"/>
      <c r="O30" s="55"/>
      <c r="P30" s="55"/>
    </row>
    <row r="31" spans="1:16" ht="13.5" customHeight="1">
      <c r="A31" s="148"/>
      <c r="B31" s="148"/>
      <c r="C31" s="148"/>
      <c r="D31" s="148"/>
      <c r="E31" s="148"/>
      <c r="F31" s="148"/>
      <c r="G31" s="148"/>
      <c r="H31" s="148"/>
      <c r="I31" s="148"/>
      <c r="J31" s="149"/>
      <c r="K31" s="55"/>
      <c r="L31" s="55"/>
      <c r="M31" s="55"/>
      <c r="N31" s="149"/>
      <c r="O31" s="55"/>
      <c r="P31" s="55"/>
    </row>
    <row r="32" spans="1:16" ht="13.5" customHeight="1">
      <c r="A32" s="148"/>
      <c r="B32" s="146"/>
      <c r="C32" s="146"/>
      <c r="D32" s="148"/>
      <c r="E32" s="148"/>
      <c r="F32" s="148"/>
      <c r="G32" s="148"/>
      <c r="H32" s="148"/>
      <c r="I32" s="148"/>
      <c r="J32" s="149"/>
      <c r="K32" s="55"/>
      <c r="L32" s="55"/>
      <c r="M32" s="55"/>
      <c r="N32" s="149"/>
      <c r="O32" s="55"/>
      <c r="P32" s="55"/>
    </row>
    <row r="33" spans="1:16" ht="13.5" customHeight="1">
      <c r="A33" s="148"/>
      <c r="B33" s="148"/>
      <c r="C33" s="148"/>
      <c r="D33" s="148"/>
      <c r="E33" s="148"/>
      <c r="F33" s="148"/>
      <c r="G33" s="148"/>
      <c r="H33" s="148"/>
      <c r="I33" s="148"/>
      <c r="J33" s="149"/>
      <c r="K33" s="55"/>
      <c r="L33" s="55"/>
      <c r="M33" s="55"/>
      <c r="N33" s="149"/>
      <c r="O33" s="55"/>
      <c r="P33" s="55"/>
    </row>
    <row r="34" spans="1:16" ht="13.5" customHeight="1">
      <c r="A34" s="148"/>
      <c r="B34" s="146"/>
      <c r="C34" s="147"/>
      <c r="D34" s="148"/>
      <c r="E34" s="148"/>
      <c r="F34" s="148"/>
      <c r="G34" s="148"/>
      <c r="H34" s="148"/>
      <c r="I34" s="148"/>
      <c r="J34" s="149"/>
      <c r="K34" s="55"/>
      <c r="L34" s="55"/>
      <c r="M34" s="55"/>
      <c r="N34" s="149"/>
      <c r="O34" s="55"/>
      <c r="P34" s="55"/>
    </row>
    <row r="35" spans="1:16" ht="13.5" customHeight="1">
      <c r="A35" s="148"/>
      <c r="B35" s="146"/>
      <c r="C35" s="147"/>
      <c r="D35" s="148"/>
      <c r="E35" s="148"/>
      <c r="F35" s="148"/>
      <c r="G35" s="148"/>
      <c r="H35" s="148"/>
      <c r="I35" s="148"/>
      <c r="J35" s="149"/>
      <c r="K35" s="55"/>
      <c r="L35" s="55"/>
      <c r="M35" s="55"/>
      <c r="N35" s="149"/>
      <c r="O35" s="55"/>
      <c r="P35" s="55"/>
    </row>
    <row r="36" spans="1:16" ht="13.5" customHeight="1">
      <c r="A36" s="148"/>
      <c r="B36" s="146"/>
      <c r="C36" s="147"/>
      <c r="D36" s="148"/>
      <c r="E36" s="148"/>
      <c r="F36" s="148"/>
      <c r="G36" s="148"/>
      <c r="H36" s="148"/>
      <c r="I36" s="148"/>
      <c r="J36" s="149"/>
      <c r="K36" s="55"/>
      <c r="L36" s="55"/>
      <c r="M36" s="55"/>
      <c r="N36" s="149"/>
      <c r="O36" s="55"/>
      <c r="P36" s="55"/>
    </row>
    <row r="37" spans="1:16" ht="13.5" customHeight="1">
      <c r="A37" s="148"/>
      <c r="B37" s="146"/>
      <c r="C37" s="147"/>
      <c r="D37" s="148"/>
      <c r="E37" s="148"/>
      <c r="F37" s="148"/>
      <c r="G37" s="148"/>
      <c r="H37" s="148"/>
      <c r="I37" s="148"/>
      <c r="J37" s="149"/>
      <c r="K37" s="55"/>
      <c r="L37" s="55"/>
      <c r="M37" s="55"/>
      <c r="N37" s="149"/>
      <c r="O37" s="55"/>
      <c r="P37" s="55"/>
    </row>
    <row r="38" spans="1:16" ht="13.5" customHeight="1">
      <c r="A38" s="148"/>
      <c r="B38" s="146"/>
      <c r="C38" s="147"/>
      <c r="D38" s="148"/>
      <c r="E38" s="148"/>
      <c r="F38" s="148"/>
      <c r="G38" s="148"/>
      <c r="H38" s="148"/>
      <c r="I38" s="148"/>
      <c r="J38" s="149"/>
      <c r="K38" s="55"/>
      <c r="L38" s="55"/>
      <c r="M38" s="55"/>
      <c r="N38" s="149"/>
      <c r="O38" s="55"/>
      <c r="P38" s="55"/>
    </row>
    <row r="39" spans="1:16" ht="13.5" customHeight="1">
      <c r="A39" s="148"/>
      <c r="B39" s="148"/>
      <c r="C39" s="148"/>
      <c r="D39" s="148"/>
      <c r="E39" s="148"/>
      <c r="F39" s="148"/>
      <c r="G39" s="148"/>
      <c r="H39" s="148"/>
      <c r="I39" s="148"/>
      <c r="J39" s="149"/>
      <c r="K39" s="55"/>
      <c r="L39" s="55"/>
      <c r="M39" s="55"/>
      <c r="N39" s="149"/>
      <c r="O39" s="55"/>
      <c r="P39" s="55"/>
    </row>
    <row r="40" spans="1:16" ht="13.5" customHeight="1">
      <c r="A40" s="148"/>
      <c r="B40" s="148"/>
      <c r="C40" s="148"/>
      <c r="D40" s="148"/>
      <c r="E40" s="148"/>
      <c r="F40" s="148"/>
      <c r="G40" s="148"/>
      <c r="H40" s="148"/>
      <c r="I40" s="148"/>
      <c r="J40" s="149"/>
      <c r="K40" s="55"/>
      <c r="L40" s="55"/>
      <c r="M40" s="55"/>
      <c r="N40" s="149"/>
      <c r="O40" s="55"/>
      <c r="P40" s="55"/>
    </row>
    <row r="41" spans="1:16" ht="13.5" customHeight="1">
      <c r="A41" s="148"/>
      <c r="B41" s="148"/>
      <c r="C41" s="148"/>
      <c r="D41" s="148"/>
      <c r="E41" s="148"/>
      <c r="F41" s="148"/>
      <c r="G41" s="148"/>
      <c r="H41" s="148"/>
      <c r="I41" s="148"/>
      <c r="J41" s="149"/>
      <c r="K41" s="55"/>
      <c r="L41" s="55"/>
      <c r="M41" s="55"/>
      <c r="N41" s="149"/>
      <c r="O41" s="55"/>
      <c r="P41" s="55"/>
    </row>
    <row r="42" spans="1:16" ht="13.5" customHeight="1">
      <c r="A42" s="148"/>
      <c r="B42" s="148"/>
      <c r="C42" s="148"/>
      <c r="D42" s="148"/>
      <c r="E42" s="148"/>
      <c r="F42" s="148"/>
      <c r="G42" s="148"/>
      <c r="H42" s="148"/>
      <c r="I42" s="148"/>
      <c r="J42" s="149"/>
      <c r="K42" s="55"/>
      <c r="L42" s="55"/>
      <c r="M42" s="55"/>
      <c r="N42" s="149"/>
      <c r="O42" s="55"/>
      <c r="P42" s="55"/>
    </row>
    <row r="43" spans="1:16" ht="13.5" customHeight="1">
      <c r="A43" s="55"/>
      <c r="B43" s="55"/>
      <c r="C43" s="55"/>
      <c r="D43" s="55"/>
      <c r="E43" s="55"/>
      <c r="F43" s="55"/>
      <c r="G43" s="55"/>
      <c r="H43" s="148"/>
      <c r="I43" s="55"/>
      <c r="J43" s="149"/>
      <c r="K43" s="55"/>
      <c r="L43" s="55"/>
      <c r="M43" s="55"/>
      <c r="N43" s="149"/>
      <c r="O43" s="55"/>
      <c r="P43" s="55"/>
    </row>
    <row r="44" spans="1:16" ht="13.5" customHeight="1">
      <c r="A44" s="55"/>
      <c r="B44" s="55"/>
      <c r="C44" s="55"/>
      <c r="D44" s="55"/>
      <c r="E44" s="55"/>
      <c r="F44" s="55"/>
      <c r="G44" s="55"/>
      <c r="H44" s="148"/>
      <c r="I44" s="55"/>
      <c r="J44" s="149"/>
      <c r="K44" s="55"/>
      <c r="L44" s="55"/>
      <c r="M44" s="55"/>
      <c r="N44" s="149"/>
      <c r="O44" s="55"/>
      <c r="P44" s="55"/>
    </row>
    <row r="45" spans="1:16" ht="13.5" customHeight="1">
      <c r="A45" s="55"/>
      <c r="B45" s="55"/>
      <c r="C45" s="55"/>
      <c r="D45" s="55"/>
      <c r="E45" s="55"/>
      <c r="F45" s="55"/>
      <c r="G45" s="55"/>
      <c r="H45" s="148"/>
      <c r="I45" s="55"/>
      <c r="J45" s="149"/>
      <c r="K45" s="55"/>
      <c r="L45" s="55"/>
      <c r="M45" s="55"/>
      <c r="N45" s="149"/>
      <c r="O45" s="55"/>
      <c r="P45" s="55"/>
    </row>
  </sheetData>
  <mergeCells count="10">
    <mergeCell ref="D4:J4"/>
    <mergeCell ref="I1:K1"/>
    <mergeCell ref="A1:E1"/>
    <mergeCell ref="K4:N4"/>
    <mergeCell ref="C4:C5"/>
    <mergeCell ref="B4:B5"/>
    <mergeCell ref="L1:P1"/>
    <mergeCell ref="O4:O5"/>
    <mergeCell ref="P4:P5"/>
    <mergeCell ref="A2:C3"/>
  </mergeCells>
  <printOptions/>
  <pageMargins left="0.3937007874015748" right="0.3937007874015748" top="0.1968503937007874" bottom="0.1968503937007874" header="0" footer="0"/>
  <pageSetup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zoomScaleSheetLayoutView="75" workbookViewId="0" topLeftCell="A1">
      <selection activeCell="E26" sqref="E26"/>
    </sheetView>
  </sheetViews>
  <sheetFormatPr defaultColWidth="9.00390625" defaultRowHeight="12.75"/>
  <cols>
    <col min="1" max="1" width="3.25390625" style="0" customWidth="1"/>
    <col min="2" max="2" width="20.875" style="0" customWidth="1"/>
    <col min="3" max="4" width="15.25390625" style="0" customWidth="1"/>
    <col min="5" max="5" width="8.875" style="0" customWidth="1"/>
    <col min="6" max="6" width="8.00390625" style="0" customWidth="1"/>
    <col min="7" max="7" width="8.75390625" style="0" customWidth="1"/>
    <col min="8" max="8" width="7.375" style="0" customWidth="1"/>
    <col min="9" max="9" width="7.75390625" style="0" customWidth="1"/>
    <col min="10" max="10" width="8.75390625" style="0" customWidth="1"/>
  </cols>
  <sheetData>
    <row r="1" spans="1:9" ht="10.5" customHeight="1">
      <c r="A1" s="196" t="s">
        <v>147</v>
      </c>
      <c r="B1" s="196"/>
      <c r="C1" s="196"/>
      <c r="D1" s="196"/>
      <c r="E1" s="196"/>
      <c r="F1" s="196"/>
      <c r="G1" s="196"/>
      <c r="H1" s="196"/>
      <c r="I1" s="196"/>
    </row>
    <row r="2" spans="1:9" ht="12.75" customHeight="1">
      <c r="A2" s="196"/>
      <c r="B2" s="196"/>
      <c r="C2" s="196"/>
      <c r="D2" s="196"/>
      <c r="E2" s="196"/>
      <c r="F2" s="196"/>
      <c r="G2" s="196"/>
      <c r="H2" s="196"/>
      <c r="I2" s="196"/>
    </row>
    <row r="3" spans="1:9" ht="12" customHeight="1">
      <c r="A3" s="197" t="s">
        <v>131</v>
      </c>
      <c r="B3" s="197"/>
      <c r="C3" s="195" t="s">
        <v>245</v>
      </c>
      <c r="D3" s="195"/>
      <c r="E3" s="195" t="s">
        <v>244</v>
      </c>
      <c r="F3" s="195"/>
      <c r="G3" s="195"/>
      <c r="H3" s="195"/>
      <c r="I3" s="195"/>
    </row>
    <row r="4" spans="1:9" ht="12" customHeight="1">
      <c r="A4" s="197"/>
      <c r="B4" s="197"/>
      <c r="C4" s="195"/>
      <c r="D4" s="195"/>
      <c r="E4" s="195"/>
      <c r="F4" s="195"/>
      <c r="G4" s="195"/>
      <c r="H4" s="195"/>
      <c r="I4" s="195"/>
    </row>
    <row r="5" spans="1:9" ht="12" customHeight="1" thickBot="1">
      <c r="A5" s="59"/>
      <c r="B5" s="59"/>
      <c r="C5" s="58"/>
      <c r="D5" s="58"/>
      <c r="E5" s="58"/>
      <c r="F5" s="58"/>
      <c r="G5" s="58"/>
      <c r="H5" s="58"/>
      <c r="I5" s="58"/>
    </row>
    <row r="6" spans="1:9" ht="12" customHeight="1">
      <c r="A6" s="59"/>
      <c r="B6" s="59"/>
      <c r="C6" s="58"/>
      <c r="D6" s="58"/>
      <c r="E6" s="18" t="s">
        <v>145</v>
      </c>
      <c r="F6" s="34" t="s">
        <v>246</v>
      </c>
      <c r="G6" s="19" t="s">
        <v>85</v>
      </c>
      <c r="H6" s="10">
        <v>47</v>
      </c>
      <c r="I6" s="58"/>
    </row>
    <row r="7" spans="1:9" ht="12" customHeight="1" thickBot="1">
      <c r="A7" s="59"/>
      <c r="B7" s="59"/>
      <c r="C7" s="58"/>
      <c r="D7" s="58"/>
      <c r="E7" s="21" t="s">
        <v>146</v>
      </c>
      <c r="F7" s="35" t="s">
        <v>247</v>
      </c>
      <c r="G7" s="22" t="s">
        <v>86</v>
      </c>
      <c r="H7" s="16">
        <v>70</v>
      </c>
      <c r="I7" s="58"/>
    </row>
    <row r="8" spans="1:10" ht="13.5" customHeight="1" thickBot="1">
      <c r="A8" s="3" t="s">
        <v>1</v>
      </c>
      <c r="B8" s="186" t="s">
        <v>2</v>
      </c>
      <c r="C8" s="186" t="s">
        <v>3</v>
      </c>
      <c r="D8" s="186" t="s">
        <v>185</v>
      </c>
      <c r="E8" s="176" t="s">
        <v>4</v>
      </c>
      <c r="F8" s="184"/>
      <c r="G8" s="184"/>
      <c r="H8" s="184"/>
      <c r="I8" s="198" t="s">
        <v>7</v>
      </c>
      <c r="J8" s="175" t="s">
        <v>146</v>
      </c>
    </row>
    <row r="9" spans="1:10" ht="35.25" customHeight="1" thickBot="1">
      <c r="A9" s="5" t="s">
        <v>8</v>
      </c>
      <c r="B9" s="187"/>
      <c r="C9" s="187"/>
      <c r="D9" s="192"/>
      <c r="E9" s="6" t="s">
        <v>9</v>
      </c>
      <c r="F9" s="6" t="s">
        <v>10</v>
      </c>
      <c r="G9" s="6" t="s">
        <v>11</v>
      </c>
      <c r="H9" s="6" t="s">
        <v>12</v>
      </c>
      <c r="I9" s="199"/>
      <c r="J9" s="194"/>
    </row>
    <row r="10" spans="1:10" ht="12.75">
      <c r="A10" s="8">
        <v>4</v>
      </c>
      <c r="B10" s="9" t="s">
        <v>20</v>
      </c>
      <c r="C10" s="9" t="s">
        <v>21</v>
      </c>
      <c r="D10" s="19" t="s">
        <v>187</v>
      </c>
      <c r="E10" s="9">
        <v>0</v>
      </c>
      <c r="F10" s="9">
        <v>43.3</v>
      </c>
      <c r="G10" s="9"/>
      <c r="H10" s="9">
        <f>G10+E10</f>
        <v>0</v>
      </c>
      <c r="I10" s="165">
        <v>1</v>
      </c>
      <c r="J10" s="162">
        <f>172/F10</f>
        <v>3.9722863741339496</v>
      </c>
    </row>
    <row r="11" spans="1:10" ht="12.75">
      <c r="A11" s="11">
        <v>5</v>
      </c>
      <c r="B11" s="12" t="s">
        <v>22</v>
      </c>
      <c r="C11" s="12" t="s">
        <v>23</v>
      </c>
      <c r="D11" s="60" t="s">
        <v>187</v>
      </c>
      <c r="E11" s="12">
        <v>0</v>
      </c>
      <c r="F11" s="12">
        <v>44.7</v>
      </c>
      <c r="G11" s="12"/>
      <c r="H11" s="12">
        <f>G11+E11</f>
        <v>0</v>
      </c>
      <c r="I11" s="161">
        <v>2</v>
      </c>
      <c r="J11" s="162">
        <f>172/F11</f>
        <v>3.8478747203579418</v>
      </c>
    </row>
    <row r="12" spans="1:10" ht="12.75">
      <c r="A12" s="11">
        <v>3</v>
      </c>
      <c r="B12" s="12" t="s">
        <v>16</v>
      </c>
      <c r="C12" s="12" t="s">
        <v>17</v>
      </c>
      <c r="D12" s="60" t="s">
        <v>186</v>
      </c>
      <c r="E12" s="12">
        <v>0</v>
      </c>
      <c r="F12" s="12">
        <v>46.1</v>
      </c>
      <c r="G12" s="12"/>
      <c r="H12" s="12">
        <f>G12+E12</f>
        <v>0</v>
      </c>
      <c r="I12" s="161">
        <v>3</v>
      </c>
      <c r="J12" s="162">
        <f>172/F12</f>
        <v>3.7310195227765726</v>
      </c>
    </row>
    <row r="13" spans="1:10" ht="12.75">
      <c r="A13" s="11">
        <v>2</v>
      </c>
      <c r="B13" s="12" t="s">
        <v>18</v>
      </c>
      <c r="C13" s="12" t="s">
        <v>19</v>
      </c>
      <c r="D13" s="60" t="s">
        <v>186</v>
      </c>
      <c r="E13" s="12">
        <v>0</v>
      </c>
      <c r="F13" s="12">
        <v>52.6</v>
      </c>
      <c r="G13" s="12">
        <f>F13-47</f>
        <v>5.600000000000001</v>
      </c>
      <c r="H13" s="12">
        <f>G13+E13</f>
        <v>5.600000000000001</v>
      </c>
      <c r="I13" s="67">
        <v>4</v>
      </c>
      <c r="J13" s="162">
        <f>172/F13</f>
        <v>3.2699619771863118</v>
      </c>
    </row>
    <row r="14" spans="1:10" ht="13.5" thickBot="1">
      <c r="A14" s="11">
        <v>1</v>
      </c>
      <c r="B14" s="12" t="s">
        <v>84</v>
      </c>
      <c r="C14" s="12" t="s">
        <v>193</v>
      </c>
      <c r="D14" s="60" t="s">
        <v>189</v>
      </c>
      <c r="E14" s="12"/>
      <c r="F14" s="60" t="s">
        <v>228</v>
      </c>
      <c r="G14" s="12"/>
      <c r="H14" s="12">
        <v>100</v>
      </c>
      <c r="I14" s="67" t="s">
        <v>229</v>
      </c>
      <c r="J14" s="164"/>
    </row>
    <row r="33" ht="12" customHeight="1"/>
    <row r="34" ht="12" customHeight="1"/>
  </sheetData>
  <mergeCells count="10">
    <mergeCell ref="J8:J9"/>
    <mergeCell ref="C3:D4"/>
    <mergeCell ref="C8:C9"/>
    <mergeCell ref="A1:I2"/>
    <mergeCell ref="B8:B9"/>
    <mergeCell ref="A3:B4"/>
    <mergeCell ref="I8:I9"/>
    <mergeCell ref="E8:H8"/>
    <mergeCell ref="D8:D9"/>
    <mergeCell ref="E3:I4"/>
  </mergeCells>
  <printOptions/>
  <pageMargins left="0.3937007874015748" right="0.3937007874015748" top="0.3937007874015748" bottom="0.3937007874015748" header="0" footer="0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zoomScaleSheetLayoutView="75" workbookViewId="0" topLeftCell="A1">
      <selection activeCell="L15" sqref="L15"/>
    </sheetView>
  </sheetViews>
  <sheetFormatPr defaultColWidth="9.00390625" defaultRowHeight="12.75"/>
  <cols>
    <col min="1" max="1" width="3.25390625" style="0" customWidth="1"/>
    <col min="2" max="2" width="20.875" style="0" customWidth="1"/>
    <col min="3" max="3" width="17.00390625" style="0" customWidth="1"/>
    <col min="4" max="4" width="15.25390625" style="0" customWidth="1"/>
    <col min="5" max="5" width="8.875" style="0" customWidth="1"/>
    <col min="6" max="6" width="8.00390625" style="0" customWidth="1"/>
    <col min="7" max="7" width="8.75390625" style="0" customWidth="1"/>
    <col min="8" max="8" width="7.375" style="0" customWidth="1"/>
    <col min="9" max="9" width="7.75390625" style="0" customWidth="1"/>
  </cols>
  <sheetData>
    <row r="1" spans="1:9" ht="10.5" customHeight="1">
      <c r="A1" s="196" t="s">
        <v>147</v>
      </c>
      <c r="B1" s="196"/>
      <c r="C1" s="196"/>
      <c r="D1" s="196"/>
      <c r="E1" s="196"/>
      <c r="F1" s="196"/>
      <c r="G1" s="196"/>
      <c r="H1" s="196"/>
      <c r="I1" s="196"/>
    </row>
    <row r="2" spans="1:9" ht="12.75" customHeight="1">
      <c r="A2" s="196"/>
      <c r="B2" s="196"/>
      <c r="C2" s="196"/>
      <c r="D2" s="196"/>
      <c r="E2" s="196"/>
      <c r="F2" s="196"/>
      <c r="G2" s="196"/>
      <c r="H2" s="196"/>
      <c r="I2" s="196"/>
    </row>
    <row r="3" spans="1:9" ht="12" customHeight="1">
      <c r="A3" s="197" t="s">
        <v>128</v>
      </c>
      <c r="B3" s="197"/>
      <c r="C3" s="195" t="s">
        <v>245</v>
      </c>
      <c r="D3" s="195"/>
      <c r="E3" s="195" t="s">
        <v>244</v>
      </c>
      <c r="F3" s="195"/>
      <c r="G3" s="195"/>
      <c r="H3" s="195"/>
      <c r="I3" s="195"/>
    </row>
    <row r="4" spans="1:9" ht="12" customHeight="1">
      <c r="A4" s="197"/>
      <c r="B4" s="197"/>
      <c r="C4" s="195"/>
      <c r="D4" s="195"/>
      <c r="E4" s="195"/>
      <c r="F4" s="195"/>
      <c r="G4" s="195"/>
      <c r="H4" s="195"/>
      <c r="I4" s="195"/>
    </row>
    <row r="5" spans="1:9" ht="12" customHeight="1" thickBot="1">
      <c r="A5" s="59"/>
      <c r="B5" s="59"/>
      <c r="C5" s="58"/>
      <c r="D5" s="58"/>
      <c r="E5" s="58"/>
      <c r="F5" s="58"/>
      <c r="G5" s="58"/>
      <c r="H5" s="58"/>
      <c r="I5" s="58"/>
    </row>
    <row r="6" spans="1:9" ht="12" customHeight="1">
      <c r="A6" s="59"/>
      <c r="B6" s="59"/>
      <c r="C6" s="58"/>
      <c r="D6" s="58"/>
      <c r="E6" s="18" t="s">
        <v>145</v>
      </c>
      <c r="F6" s="34" t="s">
        <v>246</v>
      </c>
      <c r="G6" s="19" t="s">
        <v>85</v>
      </c>
      <c r="H6" s="10">
        <v>47</v>
      </c>
      <c r="I6" s="58"/>
    </row>
    <row r="7" spans="1:9" ht="12" customHeight="1" thickBot="1">
      <c r="A7" s="59"/>
      <c r="B7" s="59"/>
      <c r="C7" s="58"/>
      <c r="D7" s="58"/>
      <c r="E7" s="21" t="s">
        <v>146</v>
      </c>
      <c r="F7" s="35" t="s">
        <v>247</v>
      </c>
      <c r="G7" s="22" t="s">
        <v>86</v>
      </c>
      <c r="H7" s="16">
        <v>70</v>
      </c>
      <c r="I7" s="58"/>
    </row>
    <row r="8" spans="1:10" ht="13.5" customHeight="1" thickBot="1">
      <c r="A8" s="3" t="s">
        <v>1</v>
      </c>
      <c r="B8" s="186" t="s">
        <v>2</v>
      </c>
      <c r="C8" s="186" t="s">
        <v>3</v>
      </c>
      <c r="D8" s="186" t="s">
        <v>185</v>
      </c>
      <c r="E8" s="176" t="s">
        <v>4</v>
      </c>
      <c r="F8" s="184"/>
      <c r="G8" s="184"/>
      <c r="H8" s="184"/>
      <c r="I8" s="198" t="s">
        <v>7</v>
      </c>
      <c r="J8" s="175" t="s">
        <v>146</v>
      </c>
    </row>
    <row r="9" spans="1:10" ht="35.25" customHeight="1" thickBot="1">
      <c r="A9" s="5" t="s">
        <v>8</v>
      </c>
      <c r="B9" s="187"/>
      <c r="C9" s="187"/>
      <c r="D9" s="192"/>
      <c r="E9" s="6" t="s">
        <v>9</v>
      </c>
      <c r="F9" s="6" t="s">
        <v>10</v>
      </c>
      <c r="G9" s="6" t="s">
        <v>11</v>
      </c>
      <c r="H9" s="6" t="s">
        <v>12</v>
      </c>
      <c r="I9" s="199"/>
      <c r="J9" s="194"/>
    </row>
    <row r="10" spans="1:10" ht="12.75">
      <c r="A10" s="8">
        <v>16</v>
      </c>
      <c r="B10" s="9" t="s">
        <v>20</v>
      </c>
      <c r="C10" s="9" t="s">
        <v>45</v>
      </c>
      <c r="D10" s="19" t="s">
        <v>187</v>
      </c>
      <c r="E10" s="9">
        <v>0</v>
      </c>
      <c r="F10" s="9">
        <v>41.5</v>
      </c>
      <c r="G10" s="9">
        <v>0</v>
      </c>
      <c r="H10" s="9">
        <f aca="true" t="shared" si="0" ref="H10:H18">G10+E10</f>
        <v>0</v>
      </c>
      <c r="I10" s="165">
        <v>1</v>
      </c>
      <c r="J10" s="162">
        <f aca="true" t="shared" si="1" ref="J10:J18">172/F10</f>
        <v>4.144578313253012</v>
      </c>
    </row>
    <row r="11" spans="1:10" ht="12.75">
      <c r="A11" s="11">
        <v>13</v>
      </c>
      <c r="B11" s="12" t="s">
        <v>25</v>
      </c>
      <c r="C11" s="12" t="s">
        <v>27</v>
      </c>
      <c r="D11" s="60" t="s">
        <v>192</v>
      </c>
      <c r="E11" s="12">
        <v>0</v>
      </c>
      <c r="F11" s="12">
        <v>43.8</v>
      </c>
      <c r="G11" s="12">
        <v>0</v>
      </c>
      <c r="H11" s="12">
        <f t="shared" si="0"/>
        <v>0</v>
      </c>
      <c r="I11" s="161">
        <v>2</v>
      </c>
      <c r="J11" s="162">
        <f t="shared" si="1"/>
        <v>3.926940639269407</v>
      </c>
    </row>
    <row r="12" spans="1:10" ht="12.75">
      <c r="A12" s="11">
        <v>11</v>
      </c>
      <c r="B12" s="12" t="s">
        <v>133</v>
      </c>
      <c r="C12" s="12" t="s">
        <v>134</v>
      </c>
      <c r="D12" s="60" t="s">
        <v>186</v>
      </c>
      <c r="E12" s="12">
        <v>0</v>
      </c>
      <c r="F12" s="12">
        <v>45.7</v>
      </c>
      <c r="G12" s="12">
        <v>0</v>
      </c>
      <c r="H12" s="12">
        <f t="shared" si="0"/>
        <v>0</v>
      </c>
      <c r="I12" s="161">
        <v>3</v>
      </c>
      <c r="J12" s="162">
        <f t="shared" si="1"/>
        <v>3.7636761487964985</v>
      </c>
    </row>
    <row r="13" spans="1:10" ht="12.75">
      <c r="A13" s="11">
        <v>12</v>
      </c>
      <c r="B13" s="12" t="s">
        <v>60</v>
      </c>
      <c r="C13" s="12" t="s">
        <v>61</v>
      </c>
      <c r="D13" s="60" t="s">
        <v>187</v>
      </c>
      <c r="E13" s="12">
        <v>0</v>
      </c>
      <c r="F13" s="91">
        <v>46</v>
      </c>
      <c r="G13" s="12">
        <v>0</v>
      </c>
      <c r="H13" s="12">
        <f t="shared" si="0"/>
        <v>0</v>
      </c>
      <c r="I13" s="67">
        <v>4</v>
      </c>
      <c r="J13" s="162">
        <f t="shared" si="1"/>
        <v>3.739130434782609</v>
      </c>
    </row>
    <row r="14" spans="1:10" ht="12.75">
      <c r="A14" s="11">
        <v>9</v>
      </c>
      <c r="B14" s="12" t="s">
        <v>25</v>
      </c>
      <c r="C14" s="12" t="s">
        <v>26</v>
      </c>
      <c r="D14" s="60" t="s">
        <v>190</v>
      </c>
      <c r="E14" s="12">
        <v>0</v>
      </c>
      <c r="F14" s="12">
        <v>50.1</v>
      </c>
      <c r="G14" s="12">
        <f>F14-47</f>
        <v>3.1000000000000014</v>
      </c>
      <c r="H14" s="12">
        <f t="shared" si="0"/>
        <v>3.1000000000000014</v>
      </c>
      <c r="I14" s="67">
        <v>5</v>
      </c>
      <c r="J14" s="162">
        <f t="shared" si="1"/>
        <v>3.4331337325349303</v>
      </c>
    </row>
    <row r="15" spans="1:10" ht="12.75">
      <c r="A15" s="11">
        <v>2</v>
      </c>
      <c r="B15" s="12" t="s">
        <v>46</v>
      </c>
      <c r="C15" s="12" t="s">
        <v>47</v>
      </c>
      <c r="D15" s="60" t="s">
        <v>187</v>
      </c>
      <c r="E15" s="12">
        <v>5</v>
      </c>
      <c r="F15" s="12">
        <v>45.7</v>
      </c>
      <c r="G15" s="12">
        <v>0</v>
      </c>
      <c r="H15" s="12">
        <f t="shared" si="0"/>
        <v>5</v>
      </c>
      <c r="I15" s="67">
        <v>6</v>
      </c>
      <c r="J15" s="162">
        <f t="shared" si="1"/>
        <v>3.7636761487964985</v>
      </c>
    </row>
    <row r="16" spans="1:10" ht="12.75">
      <c r="A16" s="11">
        <v>1</v>
      </c>
      <c r="B16" s="12" t="s">
        <v>73</v>
      </c>
      <c r="C16" s="12" t="s">
        <v>74</v>
      </c>
      <c r="D16" s="60" t="s">
        <v>191</v>
      </c>
      <c r="E16" s="12">
        <v>0</v>
      </c>
      <c r="F16" s="60">
        <v>55.9</v>
      </c>
      <c r="G16" s="12">
        <f>F16-47</f>
        <v>8.899999999999999</v>
      </c>
      <c r="H16" s="12">
        <f t="shared" si="0"/>
        <v>8.899999999999999</v>
      </c>
      <c r="I16" s="67">
        <v>7</v>
      </c>
      <c r="J16" s="162">
        <f t="shared" si="1"/>
        <v>3.076923076923077</v>
      </c>
    </row>
    <row r="17" spans="1:10" ht="12.75">
      <c r="A17" s="11">
        <v>10</v>
      </c>
      <c r="B17" s="12" t="s">
        <v>133</v>
      </c>
      <c r="C17" s="12" t="s">
        <v>24</v>
      </c>
      <c r="D17" s="60" t="s">
        <v>186</v>
      </c>
      <c r="E17" s="12">
        <v>5</v>
      </c>
      <c r="F17" s="12">
        <v>51.7</v>
      </c>
      <c r="G17" s="12">
        <f>F17-47</f>
        <v>4.700000000000003</v>
      </c>
      <c r="H17" s="12">
        <f t="shared" si="0"/>
        <v>9.700000000000003</v>
      </c>
      <c r="I17" s="67">
        <v>8</v>
      </c>
      <c r="J17" s="162">
        <f t="shared" si="1"/>
        <v>3.326885880077369</v>
      </c>
    </row>
    <row r="18" spans="1:10" ht="12.75">
      <c r="A18" s="11">
        <v>7</v>
      </c>
      <c r="B18" s="12" t="s">
        <v>28</v>
      </c>
      <c r="C18" s="12" t="s">
        <v>29</v>
      </c>
      <c r="D18" s="60" t="s">
        <v>186</v>
      </c>
      <c r="E18" s="12">
        <v>5</v>
      </c>
      <c r="F18" s="12">
        <v>56.8</v>
      </c>
      <c r="G18" s="12">
        <f>F18-47</f>
        <v>9.799999999999997</v>
      </c>
      <c r="H18" s="12">
        <f t="shared" si="0"/>
        <v>14.799999999999997</v>
      </c>
      <c r="I18" s="67">
        <v>9</v>
      </c>
      <c r="J18" s="162">
        <f t="shared" si="1"/>
        <v>3.028169014084507</v>
      </c>
    </row>
    <row r="19" spans="1:10" ht="12.75">
      <c r="A19" s="11">
        <v>3</v>
      </c>
      <c r="B19" s="12" t="s">
        <v>66</v>
      </c>
      <c r="C19" s="12" t="s">
        <v>69</v>
      </c>
      <c r="D19" s="60" t="s">
        <v>187</v>
      </c>
      <c r="E19" s="12"/>
      <c r="F19" s="60" t="s">
        <v>228</v>
      </c>
      <c r="G19" s="12"/>
      <c r="H19" s="12">
        <v>100</v>
      </c>
      <c r="I19" s="161" t="s">
        <v>229</v>
      </c>
      <c r="J19" s="163"/>
    </row>
    <row r="20" spans="1:10" ht="12.75">
      <c r="A20" s="11">
        <v>4</v>
      </c>
      <c r="B20" s="12" t="s">
        <v>207</v>
      </c>
      <c r="C20" s="12" t="s">
        <v>208</v>
      </c>
      <c r="D20" s="60" t="s">
        <v>218</v>
      </c>
      <c r="E20" s="12"/>
      <c r="F20" s="60" t="s">
        <v>228</v>
      </c>
      <c r="G20" s="12"/>
      <c r="H20" s="12">
        <v>100</v>
      </c>
      <c r="I20" s="161" t="s">
        <v>229</v>
      </c>
      <c r="J20" s="163"/>
    </row>
    <row r="21" spans="1:10" ht="12.75">
      <c r="A21" s="11">
        <v>5</v>
      </c>
      <c r="B21" s="12" t="s">
        <v>58</v>
      </c>
      <c r="C21" s="12" t="s">
        <v>59</v>
      </c>
      <c r="D21" s="60" t="s">
        <v>187</v>
      </c>
      <c r="E21" s="12"/>
      <c r="F21" s="60" t="s">
        <v>228</v>
      </c>
      <c r="G21" s="12"/>
      <c r="H21" s="12">
        <v>100</v>
      </c>
      <c r="I21" s="161" t="s">
        <v>229</v>
      </c>
      <c r="J21" s="163"/>
    </row>
    <row r="22" spans="1:10" ht="12.75">
      <c r="A22" s="11">
        <v>6</v>
      </c>
      <c r="B22" s="12" t="s">
        <v>70</v>
      </c>
      <c r="C22" s="12" t="s">
        <v>71</v>
      </c>
      <c r="D22" s="60" t="s">
        <v>187</v>
      </c>
      <c r="E22" s="12"/>
      <c r="F22" s="60" t="s">
        <v>228</v>
      </c>
      <c r="G22" s="12"/>
      <c r="H22" s="12">
        <v>100</v>
      </c>
      <c r="I22" s="67" t="s">
        <v>229</v>
      </c>
      <c r="J22" s="163"/>
    </row>
    <row r="23" spans="1:10" ht="12.75">
      <c r="A23" s="11">
        <v>8</v>
      </c>
      <c r="B23" s="12" t="s">
        <v>248</v>
      </c>
      <c r="C23" s="12" t="s">
        <v>76</v>
      </c>
      <c r="D23" s="60" t="s">
        <v>249</v>
      </c>
      <c r="E23" s="94"/>
      <c r="F23" s="89" t="s">
        <v>228</v>
      </c>
      <c r="G23" s="13"/>
      <c r="H23" s="12">
        <v>100</v>
      </c>
      <c r="I23" s="67" t="s">
        <v>229</v>
      </c>
      <c r="J23" s="163"/>
    </row>
    <row r="24" spans="1:10" ht="12.75">
      <c r="A24" s="11">
        <v>14</v>
      </c>
      <c r="B24" s="12" t="s">
        <v>53</v>
      </c>
      <c r="C24" s="12" t="s">
        <v>109</v>
      </c>
      <c r="D24" s="60" t="s">
        <v>187</v>
      </c>
      <c r="E24" s="200" t="s">
        <v>250</v>
      </c>
      <c r="F24" s="201"/>
      <c r="G24" s="202"/>
      <c r="H24" s="12">
        <v>100</v>
      </c>
      <c r="I24" s="67" t="s">
        <v>229</v>
      </c>
      <c r="J24" s="163"/>
    </row>
    <row r="25" spans="1:10" ht="13.5" thickBot="1">
      <c r="A25" s="11">
        <v>15</v>
      </c>
      <c r="B25" s="12" t="s">
        <v>53</v>
      </c>
      <c r="C25" s="12" t="s">
        <v>55</v>
      </c>
      <c r="D25" s="60" t="s">
        <v>187</v>
      </c>
      <c r="E25" s="200" t="s">
        <v>250</v>
      </c>
      <c r="F25" s="201"/>
      <c r="G25" s="202"/>
      <c r="H25" s="12">
        <v>100</v>
      </c>
      <c r="I25" s="67" t="s">
        <v>229</v>
      </c>
      <c r="J25" s="164"/>
    </row>
    <row r="33" ht="12" customHeight="1"/>
    <row r="34" ht="12" customHeight="1"/>
  </sheetData>
  <mergeCells count="12">
    <mergeCell ref="A1:I2"/>
    <mergeCell ref="B8:B9"/>
    <mergeCell ref="A3:B4"/>
    <mergeCell ref="I8:I9"/>
    <mergeCell ref="E8:H8"/>
    <mergeCell ref="D8:D9"/>
    <mergeCell ref="E3:I4"/>
    <mergeCell ref="E24:G24"/>
    <mergeCell ref="E25:G25"/>
    <mergeCell ref="J8:J9"/>
    <mergeCell ref="C3:D4"/>
    <mergeCell ref="C8:C9"/>
  </mergeCells>
  <printOptions/>
  <pageMargins left="0.3937007874015748" right="0.3937007874015748" top="0.3937007874015748" bottom="0.3937007874015748" header="0" footer="0"/>
  <pageSetup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"/>
  <sheetViews>
    <sheetView zoomScaleSheetLayoutView="75" workbookViewId="0" topLeftCell="A1">
      <selection activeCell="D26" sqref="D26"/>
    </sheetView>
  </sheetViews>
  <sheetFormatPr defaultColWidth="9.00390625" defaultRowHeight="12.75"/>
  <cols>
    <col min="1" max="1" width="3.25390625" style="0" customWidth="1"/>
    <col min="2" max="2" width="21.375" style="0" customWidth="1"/>
    <col min="3" max="3" width="16.125" style="0" customWidth="1"/>
    <col min="4" max="4" width="15.25390625" style="0" customWidth="1"/>
    <col min="5" max="5" width="8.875" style="0" customWidth="1"/>
    <col min="6" max="6" width="8.00390625" style="0" customWidth="1"/>
    <col min="7" max="7" width="8.75390625" style="0" customWidth="1"/>
    <col min="8" max="8" width="7.375" style="0" customWidth="1"/>
    <col min="9" max="9" width="7.75390625" style="0" customWidth="1"/>
  </cols>
  <sheetData>
    <row r="1" spans="1:9" ht="10.5" customHeight="1">
      <c r="A1" s="196" t="s">
        <v>147</v>
      </c>
      <c r="B1" s="196"/>
      <c r="C1" s="196"/>
      <c r="D1" s="196"/>
      <c r="E1" s="196"/>
      <c r="F1" s="196"/>
      <c r="G1" s="196"/>
      <c r="H1" s="196"/>
      <c r="I1" s="196"/>
    </row>
    <row r="2" spans="1:9" ht="12.75" customHeight="1">
      <c r="A2" s="196"/>
      <c r="B2" s="196"/>
      <c r="C2" s="196"/>
      <c r="D2" s="196"/>
      <c r="E2" s="196"/>
      <c r="F2" s="196"/>
      <c r="G2" s="196"/>
      <c r="H2" s="196"/>
      <c r="I2" s="196"/>
    </row>
    <row r="3" spans="1:9" ht="12" customHeight="1">
      <c r="A3" s="197" t="s">
        <v>130</v>
      </c>
      <c r="B3" s="197"/>
      <c r="C3" s="195" t="s">
        <v>245</v>
      </c>
      <c r="D3" s="195"/>
      <c r="E3" s="195" t="s">
        <v>251</v>
      </c>
      <c r="F3" s="195"/>
      <c r="G3" s="195"/>
      <c r="H3" s="195"/>
      <c r="I3" s="195"/>
    </row>
    <row r="4" spans="1:9" ht="12" customHeight="1">
      <c r="A4" s="197"/>
      <c r="B4" s="197"/>
      <c r="C4" s="195"/>
      <c r="D4" s="195"/>
      <c r="E4" s="195"/>
      <c r="F4" s="195"/>
      <c r="G4" s="195"/>
      <c r="H4" s="195"/>
      <c r="I4" s="195"/>
    </row>
    <row r="5" spans="1:9" ht="12" customHeight="1" thickBot="1">
      <c r="A5" s="59"/>
      <c r="B5" s="59"/>
      <c r="C5" s="58"/>
      <c r="D5" s="58"/>
      <c r="E5" s="58"/>
      <c r="F5" s="58"/>
      <c r="G5" s="58"/>
      <c r="H5" s="58"/>
      <c r="I5" s="58"/>
    </row>
    <row r="6" spans="1:9" ht="12" customHeight="1">
      <c r="A6" s="59"/>
      <c r="B6" s="59"/>
      <c r="C6" s="58"/>
      <c r="D6" s="58"/>
      <c r="E6" s="18" t="s">
        <v>145</v>
      </c>
      <c r="F6" s="34" t="s">
        <v>246</v>
      </c>
      <c r="G6" s="19" t="s">
        <v>85</v>
      </c>
      <c r="H6" s="10">
        <v>47</v>
      </c>
      <c r="I6" s="58"/>
    </row>
    <row r="7" spans="1:9" ht="12" customHeight="1" thickBot="1">
      <c r="A7" s="59"/>
      <c r="B7" s="59"/>
      <c r="C7" s="58"/>
      <c r="D7" s="58"/>
      <c r="E7" s="21" t="s">
        <v>146</v>
      </c>
      <c r="F7" s="35" t="s">
        <v>247</v>
      </c>
      <c r="G7" s="22" t="s">
        <v>86</v>
      </c>
      <c r="H7" s="16">
        <v>70</v>
      </c>
      <c r="I7" s="58"/>
    </row>
    <row r="8" spans="1:10" ht="13.5" customHeight="1" thickBot="1">
      <c r="A8" s="3" t="s">
        <v>1</v>
      </c>
      <c r="B8" s="186" t="s">
        <v>2</v>
      </c>
      <c r="C8" s="186" t="s">
        <v>3</v>
      </c>
      <c r="D8" s="186" t="s">
        <v>185</v>
      </c>
      <c r="E8" s="176" t="s">
        <v>4</v>
      </c>
      <c r="F8" s="184"/>
      <c r="G8" s="184"/>
      <c r="H8" s="184"/>
      <c r="I8" s="191" t="s">
        <v>7</v>
      </c>
      <c r="J8" s="175" t="s">
        <v>146</v>
      </c>
    </row>
    <row r="9" spans="1:10" ht="35.25" customHeight="1" thickBot="1">
      <c r="A9" s="5" t="s">
        <v>8</v>
      </c>
      <c r="B9" s="187"/>
      <c r="C9" s="187"/>
      <c r="D9" s="192"/>
      <c r="E9" s="6" t="s">
        <v>9</v>
      </c>
      <c r="F9" s="6" t="s">
        <v>10</v>
      </c>
      <c r="G9" s="6" t="s">
        <v>11</v>
      </c>
      <c r="H9" s="6" t="s">
        <v>12</v>
      </c>
      <c r="I9" s="199"/>
      <c r="J9" s="203"/>
    </row>
    <row r="10" spans="1:10" ht="12.75">
      <c r="A10" s="8">
        <v>8</v>
      </c>
      <c r="B10" s="9" t="s">
        <v>205</v>
      </c>
      <c r="C10" s="9" t="s">
        <v>212</v>
      </c>
      <c r="D10" s="19" t="s">
        <v>218</v>
      </c>
      <c r="E10" s="9">
        <v>5</v>
      </c>
      <c r="F10" s="9">
        <v>41.8</v>
      </c>
      <c r="G10" s="121"/>
      <c r="H10" s="128">
        <f>G10+E10</f>
        <v>5</v>
      </c>
      <c r="I10" s="165">
        <v>1</v>
      </c>
      <c r="J10" s="167">
        <f>172/F10</f>
        <v>4.114832535885168</v>
      </c>
    </row>
    <row r="11" spans="1:10" ht="12.75">
      <c r="A11" s="11">
        <v>5</v>
      </c>
      <c r="B11" s="12" t="s">
        <v>151</v>
      </c>
      <c r="C11" s="12" t="s">
        <v>252</v>
      </c>
      <c r="D11" s="60" t="s">
        <v>188</v>
      </c>
      <c r="E11" s="12">
        <v>0</v>
      </c>
      <c r="F11" s="12">
        <v>52.5</v>
      </c>
      <c r="G11" s="91">
        <f>F11-47</f>
        <v>5.5</v>
      </c>
      <c r="H11" s="91">
        <f>G11+E11</f>
        <v>5.5</v>
      </c>
      <c r="I11" s="161">
        <v>2</v>
      </c>
      <c r="J11" s="162">
        <f>172/F11</f>
        <v>3.276190476190476</v>
      </c>
    </row>
    <row r="12" spans="1:10" ht="12.75">
      <c r="A12" s="11">
        <v>3</v>
      </c>
      <c r="B12" s="12" t="s">
        <v>20</v>
      </c>
      <c r="C12" s="12" t="s">
        <v>62</v>
      </c>
      <c r="D12" s="60" t="s">
        <v>187</v>
      </c>
      <c r="E12" s="12">
        <v>5</v>
      </c>
      <c r="F12" s="91">
        <v>48</v>
      </c>
      <c r="G12" s="91">
        <f>F12-47</f>
        <v>1</v>
      </c>
      <c r="H12" s="124">
        <f>G12+E12</f>
        <v>6</v>
      </c>
      <c r="I12" s="161">
        <v>3</v>
      </c>
      <c r="J12" s="162">
        <f>172/F12</f>
        <v>3.5833333333333335</v>
      </c>
    </row>
    <row r="13" spans="1:10" ht="12.75">
      <c r="A13" s="11">
        <v>7</v>
      </c>
      <c r="B13" s="12" t="s">
        <v>66</v>
      </c>
      <c r="C13" s="12" t="s">
        <v>67</v>
      </c>
      <c r="D13" s="60" t="s">
        <v>187</v>
      </c>
      <c r="E13" s="12">
        <v>5</v>
      </c>
      <c r="F13" s="91">
        <v>51</v>
      </c>
      <c r="G13" s="91">
        <f>F13-47</f>
        <v>4</v>
      </c>
      <c r="H13" s="124">
        <f>G13+E13</f>
        <v>9</v>
      </c>
      <c r="I13" s="166">
        <v>4</v>
      </c>
      <c r="J13" s="162">
        <f>172/F13</f>
        <v>3.372549019607843</v>
      </c>
    </row>
    <row r="14" spans="1:10" ht="12.75">
      <c r="A14" s="11">
        <v>4</v>
      </c>
      <c r="B14" s="12" t="s">
        <v>72</v>
      </c>
      <c r="C14" s="12" t="s">
        <v>126</v>
      </c>
      <c r="D14" s="60" t="s">
        <v>187</v>
      </c>
      <c r="E14" s="12">
        <v>5</v>
      </c>
      <c r="F14" s="12">
        <v>60.8</v>
      </c>
      <c r="G14" s="91">
        <f>F14-47</f>
        <v>13.799999999999997</v>
      </c>
      <c r="H14" s="91">
        <f>G14+E14</f>
        <v>18.799999999999997</v>
      </c>
      <c r="I14" s="166">
        <v>5</v>
      </c>
      <c r="J14" s="162">
        <f>172/F14</f>
        <v>2.8289473684210527</v>
      </c>
    </row>
    <row r="15" spans="1:10" ht="12.75">
      <c r="A15" s="11">
        <v>1</v>
      </c>
      <c r="B15" s="12" t="s">
        <v>253</v>
      </c>
      <c r="C15" s="12" t="s">
        <v>36</v>
      </c>
      <c r="D15" s="60" t="s">
        <v>186</v>
      </c>
      <c r="E15" s="12"/>
      <c r="F15" s="60" t="s">
        <v>228</v>
      </c>
      <c r="G15" s="12"/>
      <c r="H15" s="12">
        <v>100</v>
      </c>
      <c r="I15" s="166" t="s">
        <v>229</v>
      </c>
      <c r="J15" s="163"/>
    </row>
    <row r="16" spans="1:10" ht="12.75">
      <c r="A16" s="11">
        <v>2</v>
      </c>
      <c r="B16" s="12" t="s">
        <v>60</v>
      </c>
      <c r="C16" s="12" t="s">
        <v>64</v>
      </c>
      <c r="D16" s="60" t="s">
        <v>187</v>
      </c>
      <c r="E16" s="12"/>
      <c r="F16" s="60" t="s">
        <v>228</v>
      </c>
      <c r="G16" s="12"/>
      <c r="H16" s="12">
        <v>100</v>
      </c>
      <c r="I16" s="166" t="s">
        <v>229</v>
      </c>
      <c r="J16" s="163"/>
    </row>
    <row r="17" spans="1:10" ht="12.75">
      <c r="A17" s="11">
        <v>6</v>
      </c>
      <c r="B17" s="12" t="s">
        <v>32</v>
      </c>
      <c r="C17" s="12" t="s">
        <v>33</v>
      </c>
      <c r="D17" s="60" t="s">
        <v>186</v>
      </c>
      <c r="E17" s="12"/>
      <c r="F17" s="60" t="s">
        <v>228</v>
      </c>
      <c r="G17" s="91"/>
      <c r="H17" s="124">
        <v>100</v>
      </c>
      <c r="I17" s="166" t="s">
        <v>229</v>
      </c>
      <c r="J17" s="163"/>
    </row>
    <row r="18" spans="1:10" ht="13.5" thickBot="1">
      <c r="A18" s="11">
        <v>9</v>
      </c>
      <c r="B18" s="12" t="s">
        <v>60</v>
      </c>
      <c r="C18" s="12" t="s">
        <v>63</v>
      </c>
      <c r="D18" s="60" t="s">
        <v>187</v>
      </c>
      <c r="E18" s="12"/>
      <c r="F18" s="60" t="s">
        <v>228</v>
      </c>
      <c r="G18" s="91"/>
      <c r="H18" s="124">
        <v>100</v>
      </c>
      <c r="I18" s="166" t="s">
        <v>229</v>
      </c>
      <c r="J18" s="164"/>
    </row>
    <row r="33" ht="12" customHeight="1"/>
    <row r="34" ht="12" customHeight="1"/>
  </sheetData>
  <mergeCells count="10">
    <mergeCell ref="J8:J9"/>
    <mergeCell ref="C3:D4"/>
    <mergeCell ref="C8:C9"/>
    <mergeCell ref="A1:I2"/>
    <mergeCell ref="B8:B9"/>
    <mergeCell ref="A3:B4"/>
    <mergeCell ref="I8:I9"/>
    <mergeCell ref="E8:H8"/>
    <mergeCell ref="D8:D9"/>
    <mergeCell ref="E3:I4"/>
  </mergeCells>
  <printOptions/>
  <pageMargins left="0.3937007874015748" right="0.3937007874015748" top="0.3937007874015748" bottom="0.3937007874015748" header="0" footer="0"/>
  <pageSetup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SheetLayoutView="75" workbookViewId="0" topLeftCell="A1">
      <selection activeCell="I24" sqref="I24"/>
    </sheetView>
  </sheetViews>
  <sheetFormatPr defaultColWidth="9.00390625" defaultRowHeight="12.75"/>
  <cols>
    <col min="1" max="1" width="3.25390625" style="0" customWidth="1"/>
    <col min="2" max="2" width="20.875" style="0" customWidth="1"/>
    <col min="3" max="4" width="15.25390625" style="0" customWidth="1"/>
    <col min="5" max="5" width="8.875" style="0" customWidth="1"/>
    <col min="6" max="6" width="8.00390625" style="0" customWidth="1"/>
    <col min="7" max="7" width="8.75390625" style="0" customWidth="1"/>
    <col min="8" max="8" width="7.375" style="0" customWidth="1"/>
    <col min="9" max="9" width="7.75390625" style="0" customWidth="1"/>
  </cols>
  <sheetData>
    <row r="1" spans="1:9" ht="10.5" customHeight="1">
      <c r="A1" s="196" t="s">
        <v>147</v>
      </c>
      <c r="B1" s="196"/>
      <c r="C1" s="196"/>
      <c r="D1" s="196"/>
      <c r="E1" s="196"/>
      <c r="F1" s="196"/>
      <c r="G1" s="196"/>
      <c r="H1" s="196"/>
      <c r="I1" s="196"/>
    </row>
    <row r="2" spans="1:9" ht="12.75" customHeight="1">
      <c r="A2" s="196"/>
      <c r="B2" s="196"/>
      <c r="C2" s="196"/>
      <c r="D2" s="196"/>
      <c r="E2" s="196"/>
      <c r="F2" s="196"/>
      <c r="G2" s="196"/>
      <c r="H2" s="196"/>
      <c r="I2" s="196"/>
    </row>
    <row r="3" spans="1:9" ht="12" customHeight="1">
      <c r="A3" s="197" t="s">
        <v>129</v>
      </c>
      <c r="B3" s="197"/>
      <c r="C3" s="195" t="s">
        <v>245</v>
      </c>
      <c r="D3" s="195"/>
      <c r="E3" s="195" t="s">
        <v>251</v>
      </c>
      <c r="F3" s="195"/>
      <c r="G3" s="195"/>
      <c r="H3" s="195"/>
      <c r="I3" s="195"/>
    </row>
    <row r="4" spans="1:9" ht="12" customHeight="1">
      <c r="A4" s="197"/>
      <c r="B4" s="197"/>
      <c r="C4" s="195"/>
      <c r="D4" s="195"/>
      <c r="E4" s="195"/>
      <c r="F4" s="195"/>
      <c r="G4" s="195"/>
      <c r="H4" s="195"/>
      <c r="I4" s="195"/>
    </row>
    <row r="5" spans="1:9" ht="12" customHeight="1" thickBot="1">
      <c r="A5" s="59"/>
      <c r="B5" s="59"/>
      <c r="C5" s="58"/>
      <c r="D5" s="58"/>
      <c r="E5" s="58"/>
      <c r="F5" s="58"/>
      <c r="G5" s="58"/>
      <c r="H5" s="58"/>
      <c r="I5" s="58"/>
    </row>
    <row r="6" spans="1:9" ht="12" customHeight="1">
      <c r="A6" s="59"/>
      <c r="B6" s="59"/>
      <c r="C6" s="58"/>
      <c r="D6" s="58"/>
      <c r="E6" s="18" t="s">
        <v>145</v>
      </c>
      <c r="F6" s="34" t="s">
        <v>246</v>
      </c>
      <c r="G6" s="19" t="s">
        <v>85</v>
      </c>
      <c r="H6" s="10">
        <v>47</v>
      </c>
      <c r="I6" s="58"/>
    </row>
    <row r="7" spans="1:9" ht="12" customHeight="1" thickBot="1">
      <c r="A7" s="59"/>
      <c r="B7" s="59"/>
      <c r="C7" s="58"/>
      <c r="D7" s="58"/>
      <c r="E7" s="21" t="s">
        <v>146</v>
      </c>
      <c r="F7" s="35" t="s">
        <v>247</v>
      </c>
      <c r="G7" s="22" t="s">
        <v>86</v>
      </c>
      <c r="H7" s="16">
        <v>70</v>
      </c>
      <c r="I7" s="58"/>
    </row>
    <row r="8" spans="1:10" ht="13.5" customHeight="1" thickBot="1">
      <c r="A8" s="3" t="s">
        <v>1</v>
      </c>
      <c r="B8" s="186" t="s">
        <v>2</v>
      </c>
      <c r="C8" s="186" t="s">
        <v>3</v>
      </c>
      <c r="D8" s="186" t="s">
        <v>185</v>
      </c>
      <c r="E8" s="176" t="s">
        <v>4</v>
      </c>
      <c r="F8" s="184"/>
      <c r="G8" s="184"/>
      <c r="H8" s="184"/>
      <c r="I8" s="198" t="s">
        <v>7</v>
      </c>
      <c r="J8" s="175" t="s">
        <v>146</v>
      </c>
    </row>
    <row r="9" spans="1:10" ht="35.25" customHeight="1" thickBot="1">
      <c r="A9" s="5" t="s">
        <v>8</v>
      </c>
      <c r="B9" s="187"/>
      <c r="C9" s="187"/>
      <c r="D9" s="192"/>
      <c r="E9" s="6" t="s">
        <v>9</v>
      </c>
      <c r="F9" s="6" t="s">
        <v>10</v>
      </c>
      <c r="G9" s="6" t="s">
        <v>11</v>
      </c>
      <c r="H9" s="6" t="s">
        <v>12</v>
      </c>
      <c r="I9" s="199"/>
      <c r="J9" s="194"/>
    </row>
    <row r="10" spans="1:10" ht="12.75">
      <c r="A10" s="8">
        <v>5</v>
      </c>
      <c r="B10" s="9" t="s">
        <v>51</v>
      </c>
      <c r="C10" s="9" t="s">
        <v>99</v>
      </c>
      <c r="D10" s="19" t="s">
        <v>187</v>
      </c>
      <c r="E10" s="9">
        <v>0</v>
      </c>
      <c r="F10" s="121">
        <v>43</v>
      </c>
      <c r="G10" s="9"/>
      <c r="H10" s="9">
        <f>G10+E10</f>
        <v>0</v>
      </c>
      <c r="I10" s="165">
        <v>1</v>
      </c>
      <c r="J10" s="162">
        <f>172/F10</f>
        <v>4</v>
      </c>
    </row>
    <row r="11" spans="1:10" ht="12.75">
      <c r="A11" s="11">
        <v>4</v>
      </c>
      <c r="B11" s="12" t="s">
        <v>22</v>
      </c>
      <c r="C11" s="12" t="s">
        <v>98</v>
      </c>
      <c r="D11" s="60" t="s">
        <v>187</v>
      </c>
      <c r="E11" s="12">
        <v>0</v>
      </c>
      <c r="F11" s="12">
        <v>47.2</v>
      </c>
      <c r="G11" s="12">
        <f>F11-47</f>
        <v>0.20000000000000284</v>
      </c>
      <c r="H11" s="12">
        <f>G11+E11</f>
        <v>0.20000000000000284</v>
      </c>
      <c r="I11" s="161">
        <v>2</v>
      </c>
      <c r="J11" s="162">
        <f>172/F11</f>
        <v>3.644067796610169</v>
      </c>
    </row>
    <row r="12" spans="1:10" ht="12.75">
      <c r="A12" s="11">
        <v>8</v>
      </c>
      <c r="B12" s="12" t="s">
        <v>216</v>
      </c>
      <c r="C12" s="12" t="s">
        <v>217</v>
      </c>
      <c r="D12" s="60" t="s">
        <v>218</v>
      </c>
      <c r="E12" s="12">
        <v>0</v>
      </c>
      <c r="F12" s="12">
        <v>58.3</v>
      </c>
      <c r="G12" s="12">
        <f>F12-47</f>
        <v>11.299999999999997</v>
      </c>
      <c r="H12" s="12">
        <f>G12+E12</f>
        <v>11.299999999999997</v>
      </c>
      <c r="I12" s="161">
        <v>3</v>
      </c>
      <c r="J12" s="162">
        <f>172/F12</f>
        <v>2.9502572898799317</v>
      </c>
    </row>
    <row r="13" spans="1:10" ht="12.75">
      <c r="A13" s="11">
        <v>1</v>
      </c>
      <c r="B13" s="12" t="s">
        <v>41</v>
      </c>
      <c r="C13" s="12" t="s">
        <v>42</v>
      </c>
      <c r="D13" s="60" t="s">
        <v>186</v>
      </c>
      <c r="E13" s="12">
        <v>10</v>
      </c>
      <c r="F13" s="60">
        <v>51.6</v>
      </c>
      <c r="G13" s="12">
        <f>F13-47</f>
        <v>4.600000000000001</v>
      </c>
      <c r="H13" s="12">
        <f>G13+E13</f>
        <v>14.600000000000001</v>
      </c>
      <c r="I13" s="67">
        <v>4</v>
      </c>
      <c r="J13" s="162">
        <f>172/F13</f>
        <v>3.333333333333333</v>
      </c>
    </row>
    <row r="14" spans="1:10" ht="12.75">
      <c r="A14" s="11">
        <v>3</v>
      </c>
      <c r="B14" s="12" t="s">
        <v>196</v>
      </c>
      <c r="C14" s="12" t="s">
        <v>213</v>
      </c>
      <c r="D14" s="60" t="s">
        <v>218</v>
      </c>
      <c r="E14" s="12">
        <v>10</v>
      </c>
      <c r="F14" s="12">
        <v>57.7</v>
      </c>
      <c r="G14" s="12">
        <f>F14-47</f>
        <v>10.700000000000003</v>
      </c>
      <c r="H14" s="12">
        <f>G14+E14</f>
        <v>20.700000000000003</v>
      </c>
      <c r="I14" s="166">
        <v>5</v>
      </c>
      <c r="J14" s="162">
        <f>172/F14</f>
        <v>2.9809358752166375</v>
      </c>
    </row>
    <row r="15" spans="1:10" ht="12.75">
      <c r="A15" s="11">
        <v>2</v>
      </c>
      <c r="B15" s="12" t="s">
        <v>37</v>
      </c>
      <c r="C15" s="12" t="s">
        <v>38</v>
      </c>
      <c r="D15" s="60" t="s">
        <v>186</v>
      </c>
      <c r="E15" s="12"/>
      <c r="F15" s="60" t="s">
        <v>228</v>
      </c>
      <c r="G15" s="12"/>
      <c r="H15" s="12">
        <v>100</v>
      </c>
      <c r="I15" s="67" t="s">
        <v>229</v>
      </c>
      <c r="J15" s="163"/>
    </row>
    <row r="16" spans="1:10" ht="12.75">
      <c r="A16" s="11">
        <v>6</v>
      </c>
      <c r="B16" s="12" t="s">
        <v>101</v>
      </c>
      <c r="C16" s="12" t="s">
        <v>121</v>
      </c>
      <c r="D16" s="60" t="s">
        <v>187</v>
      </c>
      <c r="E16" s="12"/>
      <c r="F16" s="60" t="s">
        <v>228</v>
      </c>
      <c r="G16" s="12"/>
      <c r="H16" s="12">
        <v>100</v>
      </c>
      <c r="I16" s="67" t="s">
        <v>229</v>
      </c>
      <c r="J16" s="163"/>
    </row>
    <row r="17" spans="1:10" ht="13.5" thickBot="1">
      <c r="A17" s="11">
        <v>7</v>
      </c>
      <c r="B17" s="12" t="s">
        <v>58</v>
      </c>
      <c r="C17" s="12" t="s">
        <v>100</v>
      </c>
      <c r="D17" s="60" t="s">
        <v>187</v>
      </c>
      <c r="E17" s="12"/>
      <c r="F17" s="60" t="s">
        <v>228</v>
      </c>
      <c r="G17" s="12"/>
      <c r="H17" s="12">
        <v>100</v>
      </c>
      <c r="I17" s="67" t="s">
        <v>229</v>
      </c>
      <c r="J17" s="164"/>
    </row>
    <row r="33" ht="12" customHeight="1"/>
    <row r="34" ht="12" customHeight="1"/>
  </sheetData>
  <mergeCells count="10">
    <mergeCell ref="J8:J9"/>
    <mergeCell ref="C3:D4"/>
    <mergeCell ref="C8:C9"/>
    <mergeCell ref="A1:I2"/>
    <mergeCell ref="B8:B9"/>
    <mergeCell ref="A3:B4"/>
    <mergeCell ref="I8:I9"/>
    <mergeCell ref="E8:H8"/>
    <mergeCell ref="D8:D9"/>
    <mergeCell ref="E3:I4"/>
  </mergeCells>
  <printOptions/>
  <pageMargins left="0.3937007874015748" right="0.3937007874015748" top="0.3937007874015748" bottom="0.3937007874015748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Biomed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Real6</dc:creator>
  <cp:keywords/>
  <dc:description/>
  <cp:lastModifiedBy>админ</cp:lastModifiedBy>
  <cp:lastPrinted>2006-09-21T10:55:07Z</cp:lastPrinted>
  <dcterms:created xsi:type="dcterms:W3CDTF">2006-08-24T03:24:58Z</dcterms:created>
  <dcterms:modified xsi:type="dcterms:W3CDTF">2006-09-21T17:41:12Z</dcterms:modified>
  <cp:category/>
  <cp:version/>
  <cp:contentType/>
  <cp:contentStatus/>
</cp:coreProperties>
</file>